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520" windowHeight="12195"/>
  </bookViews>
  <sheets>
    <sheet name="январь-июнь 2013 года" sheetId="1" r:id="rId1"/>
    <sheet name="июль-декабрь 2013 года" sheetId="2" r:id="rId2"/>
  </sheets>
  <calcPr calcId="145621"/>
</workbook>
</file>

<file path=xl/calcChain.xml><?xml version="1.0" encoding="utf-8"?>
<calcChain xmlns="http://schemas.openxmlformats.org/spreadsheetml/2006/main">
  <c r="X20" i="2" l="1"/>
  <c r="X42" i="2"/>
  <c r="X41" i="2" s="1"/>
  <c r="X29" i="2"/>
  <c r="X33" i="2"/>
  <c r="X32" i="2" s="1"/>
  <c r="P42" i="2"/>
  <c r="P33" i="2"/>
  <c r="P22" i="2"/>
  <c r="P20" i="2"/>
  <c r="P19" i="2" s="1"/>
  <c r="P29" i="2"/>
  <c r="P27" i="2"/>
  <c r="P31" i="2" s="1"/>
  <c r="P35" i="2" s="1"/>
  <c r="O25" i="2"/>
  <c r="O24" i="2" s="1"/>
  <c r="V43" i="2"/>
  <c r="T43" i="2"/>
  <c r="W42" i="2"/>
  <c r="W41" i="2" s="1"/>
  <c r="U42" i="2"/>
  <c r="V42" i="2" s="1"/>
  <c r="V41" i="2" s="1"/>
  <c r="S42" i="2"/>
  <c r="T42" i="2" s="1"/>
  <c r="T41" i="2" s="1"/>
  <c r="R42" i="2"/>
  <c r="Q42" i="2"/>
  <c r="Q41" i="2" s="1"/>
  <c r="O42" i="2"/>
  <c r="M42" i="2"/>
  <c r="N42" i="2" s="1"/>
  <c r="N41" i="2" s="1"/>
  <c r="K42" i="2"/>
  <c r="L42" i="2" s="1"/>
  <c r="L41" i="2" s="1"/>
  <c r="J42" i="2"/>
  <c r="I42" i="2"/>
  <c r="H42" i="2"/>
  <c r="G42" i="2"/>
  <c r="F42" i="2"/>
  <c r="E42" i="2"/>
  <c r="S41" i="2"/>
  <c r="R41" i="2"/>
  <c r="O41" i="2"/>
  <c r="M41" i="2"/>
  <c r="K41" i="2"/>
  <c r="J41" i="2"/>
  <c r="I41" i="2"/>
  <c r="H41" i="2"/>
  <c r="G41" i="2"/>
  <c r="F41" i="2"/>
  <c r="E41" i="2"/>
  <c r="V40" i="2"/>
  <c r="U40" i="2"/>
  <c r="T40" i="2"/>
  <c r="S40" i="2"/>
  <c r="R40" i="2"/>
  <c r="Q40" i="2"/>
  <c r="O40" i="2"/>
  <c r="N40" i="2"/>
  <c r="M40" i="2"/>
  <c r="L40" i="2"/>
  <c r="K40" i="2"/>
  <c r="J40" i="2"/>
  <c r="I40" i="2"/>
  <c r="H40" i="2"/>
  <c r="G40" i="2"/>
  <c r="F40" i="2"/>
  <c r="E40" i="2"/>
  <c r="V39" i="2"/>
  <c r="T39" i="2"/>
  <c r="R38" i="2"/>
  <c r="Q38" i="2"/>
  <c r="V35" i="2"/>
  <c r="U35" i="2"/>
  <c r="T35" i="2"/>
  <c r="S35" i="2"/>
  <c r="R35" i="2"/>
  <c r="Q35" i="2"/>
  <c r="Q32" i="2" s="1"/>
  <c r="O35" i="2"/>
  <c r="N35" i="2"/>
  <c r="M35" i="2"/>
  <c r="L35" i="2"/>
  <c r="K35" i="2"/>
  <c r="J35" i="2"/>
  <c r="I35" i="2"/>
  <c r="H35" i="2"/>
  <c r="G35" i="2"/>
  <c r="G32" i="2" s="1"/>
  <c r="F35" i="2"/>
  <c r="F32" i="2" s="1"/>
  <c r="E35" i="2"/>
  <c r="V34" i="2"/>
  <c r="V32" i="2" s="1"/>
  <c r="T34" i="2"/>
  <c r="W33" i="2"/>
  <c r="V33" i="2"/>
  <c r="U33" i="2"/>
  <c r="S33" i="2"/>
  <c r="T33" i="2" s="1"/>
  <c r="T32" i="2" s="1"/>
  <c r="R33" i="2"/>
  <c r="Q33" i="2"/>
  <c r="O33" i="2"/>
  <c r="O32" i="2" s="1"/>
  <c r="M33" i="2"/>
  <c r="N33" i="2" s="1"/>
  <c r="N32" i="2" s="1"/>
  <c r="K33" i="2"/>
  <c r="L33" i="2" s="1"/>
  <c r="J33" i="2"/>
  <c r="I33" i="2"/>
  <c r="H33" i="2"/>
  <c r="G33" i="2"/>
  <c r="F33" i="2"/>
  <c r="E33" i="2"/>
  <c r="W32" i="2"/>
  <c r="R32" i="2"/>
  <c r="J32" i="2"/>
  <c r="H32" i="2"/>
  <c r="V31" i="2"/>
  <c r="U31" i="2"/>
  <c r="T31" i="2"/>
  <c r="S31" i="2"/>
  <c r="R31" i="2"/>
  <c r="R28" i="2" s="1"/>
  <c r="Q31" i="2"/>
  <c r="Q28" i="2" s="1"/>
  <c r="O31" i="2"/>
  <c r="N31" i="2"/>
  <c r="M31" i="2"/>
  <c r="L31" i="2"/>
  <c r="K31" i="2"/>
  <c r="J31" i="2"/>
  <c r="I31" i="2"/>
  <c r="H31" i="2"/>
  <c r="G31" i="2"/>
  <c r="F31" i="2"/>
  <c r="E31" i="2"/>
  <c r="V30" i="2"/>
  <c r="T30" i="2"/>
  <c r="R29" i="2"/>
  <c r="Q29" i="2"/>
  <c r="O29" i="2"/>
  <c r="O28" i="2" s="1"/>
  <c r="N29" i="2"/>
  <c r="M29" i="2" s="1"/>
  <c r="L29" i="2"/>
  <c r="L28" i="2" s="1"/>
  <c r="K29" i="2"/>
  <c r="K28" i="2" s="1"/>
  <c r="N28" i="2"/>
  <c r="V27" i="2"/>
  <c r="U27" i="2"/>
  <c r="U24" i="2" s="1"/>
  <c r="T27" i="2"/>
  <c r="S27" i="2"/>
  <c r="R27" i="2"/>
  <c r="R24" i="2" s="1"/>
  <c r="Q27" i="2"/>
  <c r="Q24" i="2" s="1"/>
  <c r="O27" i="2"/>
  <c r="N27" i="2"/>
  <c r="M27" i="2"/>
  <c r="M24" i="2" s="1"/>
  <c r="L27" i="2"/>
  <c r="K27" i="2"/>
  <c r="J27" i="2"/>
  <c r="I27" i="2"/>
  <c r="I24" i="2" s="1"/>
  <c r="H27" i="2"/>
  <c r="G27" i="2"/>
  <c r="F27" i="2"/>
  <c r="E27" i="2"/>
  <c r="E24" i="2" s="1"/>
  <c r="V26" i="2"/>
  <c r="T26" i="2"/>
  <c r="X25" i="2"/>
  <c r="X38" i="2" s="1"/>
  <c r="X37" i="2" s="1"/>
  <c r="W25" i="2"/>
  <c r="W38" i="2" s="1"/>
  <c r="W37" i="2" s="1"/>
  <c r="V25" i="2"/>
  <c r="V38" i="2" s="1"/>
  <c r="V37" i="2" s="1"/>
  <c r="U25" i="2"/>
  <c r="U38" i="2" s="1"/>
  <c r="U37" i="2" s="1"/>
  <c r="T25" i="2"/>
  <c r="T38" i="2" s="1"/>
  <c r="T37" i="2" s="1"/>
  <c r="S25" i="2"/>
  <c r="S38" i="2" s="1"/>
  <c r="S37" i="2" s="1"/>
  <c r="R25" i="2"/>
  <c r="Q25" i="2"/>
  <c r="P25" i="2"/>
  <c r="P38" i="2" s="1"/>
  <c r="O38" i="2"/>
  <c r="O37" i="2" s="1"/>
  <c r="M25" i="2"/>
  <c r="N25" i="2" s="1"/>
  <c r="L25" i="2"/>
  <c r="L38" i="2" s="1"/>
  <c r="L37" i="2" s="1"/>
  <c r="K25" i="2"/>
  <c r="K38" i="2" s="1"/>
  <c r="K37" i="2" s="1"/>
  <c r="J25" i="2"/>
  <c r="J38" i="2" s="1"/>
  <c r="J37" i="2" s="1"/>
  <c r="I25" i="2"/>
  <c r="I38" i="2" s="1"/>
  <c r="I37" i="2" s="1"/>
  <c r="H25" i="2"/>
  <c r="H38" i="2" s="1"/>
  <c r="H37" i="2" s="1"/>
  <c r="G25" i="2"/>
  <c r="G38" i="2" s="1"/>
  <c r="G37" i="2" s="1"/>
  <c r="F25" i="2"/>
  <c r="F38" i="2" s="1"/>
  <c r="F37" i="2" s="1"/>
  <c r="E25" i="2"/>
  <c r="E38" i="2" s="1"/>
  <c r="E37" i="2" s="1"/>
  <c r="V24" i="2"/>
  <c r="P24" i="2"/>
  <c r="L24" i="2"/>
  <c r="K24" i="2"/>
  <c r="J24" i="2"/>
  <c r="H24" i="2"/>
  <c r="V22" i="2"/>
  <c r="U22" i="2"/>
  <c r="T22" i="2"/>
  <c r="S22" i="2"/>
  <c r="R22" i="2"/>
  <c r="R19" i="2" s="1"/>
  <c r="Q22" i="2"/>
  <c r="O22" i="2"/>
  <c r="N22" i="2"/>
  <c r="M22" i="2"/>
  <c r="L22" i="2"/>
  <c r="K22" i="2"/>
  <c r="J22" i="2"/>
  <c r="I22" i="2"/>
  <c r="H22" i="2"/>
  <c r="G22" i="2"/>
  <c r="F22" i="2"/>
  <c r="E22" i="2"/>
  <c r="V21" i="2"/>
  <c r="T21" i="2"/>
  <c r="X19" i="2"/>
  <c r="W20" i="2"/>
  <c r="W19" i="2" s="1"/>
  <c r="U20" i="2"/>
  <c r="V20" i="2" s="1"/>
  <c r="S20" i="2"/>
  <c r="S29" i="2" s="1"/>
  <c r="S28" i="2" s="1"/>
  <c r="O20" i="2"/>
  <c r="O19" i="2" s="1"/>
  <c r="J20" i="2"/>
  <c r="J29" i="2" s="1"/>
  <c r="J28" i="2" s="1"/>
  <c r="I20" i="2"/>
  <c r="I29" i="2" s="1"/>
  <c r="H20" i="2"/>
  <c r="H29" i="2" s="1"/>
  <c r="G20" i="2"/>
  <c r="G19" i="2" s="1"/>
  <c r="F20" i="2"/>
  <c r="F29" i="2" s="1"/>
  <c r="F28" i="2" s="1"/>
  <c r="E20" i="2"/>
  <c r="E29" i="2" s="1"/>
  <c r="Q19" i="2"/>
  <c r="N19" i="2"/>
  <c r="M19" i="2"/>
  <c r="L19" i="2"/>
  <c r="K19" i="2"/>
  <c r="I19" i="2"/>
  <c r="H19" i="2"/>
  <c r="E19" i="2"/>
  <c r="U17" i="2"/>
  <c r="P40" i="2" l="1"/>
  <c r="P44" i="2" s="1"/>
  <c r="P41" i="2" s="1"/>
  <c r="P32" i="2"/>
  <c r="W24" i="2"/>
  <c r="E28" i="2"/>
  <c r="I28" i="2"/>
  <c r="T24" i="2"/>
  <c r="G29" i="2"/>
  <c r="G28" i="2" s="1"/>
  <c r="L32" i="2"/>
  <c r="R37" i="2"/>
  <c r="F19" i="2"/>
  <c r="J19" i="2"/>
  <c r="F24" i="2"/>
  <c r="M28" i="2"/>
  <c r="U32" i="2"/>
  <c r="U41" i="2"/>
  <c r="U19" i="2"/>
  <c r="H28" i="2"/>
  <c r="G24" i="2"/>
  <c r="S24" i="2"/>
  <c r="X24" i="2"/>
  <c r="K32" i="2"/>
  <c r="S32" i="2"/>
  <c r="E32" i="2"/>
  <c r="I32" i="2"/>
  <c r="M32" i="2"/>
  <c r="Q37" i="2"/>
  <c r="P37" i="2"/>
  <c r="P28" i="2"/>
  <c r="V29" i="2"/>
  <c r="V28" i="2" s="1"/>
  <c r="V19" i="2"/>
  <c r="N38" i="2"/>
  <c r="N37" i="2" s="1"/>
  <c r="N24" i="2"/>
  <c r="W29" i="2"/>
  <c r="W28" i="2" s="1"/>
  <c r="T20" i="2"/>
  <c r="X28" i="2"/>
  <c r="S19" i="2"/>
  <c r="U29" i="2"/>
  <c r="U28" i="2" s="1"/>
  <c r="M38" i="2"/>
  <c r="M37" i="2" s="1"/>
  <c r="X42" i="1"/>
  <c r="X41" i="1" s="1"/>
  <c r="W42" i="1"/>
  <c r="X33" i="1"/>
  <c r="W33" i="1"/>
  <c r="X25" i="1"/>
  <c r="X38" i="1" s="1"/>
  <c r="X37" i="1" s="1"/>
  <c r="W25" i="1"/>
  <c r="S42" i="1"/>
  <c r="T42" i="1" s="1"/>
  <c r="U42" i="1"/>
  <c r="U41" i="1" s="1"/>
  <c r="V42" i="1"/>
  <c r="V41" i="1" s="1"/>
  <c r="V33" i="1"/>
  <c r="U33" i="1"/>
  <c r="S33" i="1"/>
  <c r="V25" i="1"/>
  <c r="V38" i="1" s="1"/>
  <c r="U25" i="1"/>
  <c r="T25" i="1"/>
  <c r="S25" i="1"/>
  <c r="S38" i="1" s="1"/>
  <c r="S37" i="1" s="1"/>
  <c r="R42" i="1"/>
  <c r="Q42" i="1"/>
  <c r="R38" i="1"/>
  <c r="Q38" i="1"/>
  <c r="R33" i="1"/>
  <c r="Q33" i="1"/>
  <c r="R29" i="1"/>
  <c r="Q29" i="1"/>
  <c r="R25" i="1"/>
  <c r="Q25" i="1"/>
  <c r="P42" i="1"/>
  <c r="P41" i="1" s="1"/>
  <c r="O42" i="1"/>
  <c r="O41" i="1" s="1"/>
  <c r="P33" i="1"/>
  <c r="O33" i="1"/>
  <c r="P25" i="1"/>
  <c r="O25" i="1"/>
  <c r="O20" i="1"/>
  <c r="O29" i="1" s="1"/>
  <c r="N42" i="1"/>
  <c r="M42" i="1"/>
  <c r="K42" i="1"/>
  <c r="L42" i="1" s="1"/>
  <c r="L41" i="1" s="1"/>
  <c r="N33" i="1"/>
  <c r="M33" i="1"/>
  <c r="K33" i="1"/>
  <c r="L33" i="1" s="1"/>
  <c r="M25" i="1"/>
  <c r="N25" i="1" s="1"/>
  <c r="L25" i="1"/>
  <c r="L38" i="1" s="1"/>
  <c r="L37" i="1" s="1"/>
  <c r="K25" i="1"/>
  <c r="J42" i="1"/>
  <c r="I42" i="1"/>
  <c r="I41" i="1" s="1"/>
  <c r="J33" i="1"/>
  <c r="I33" i="1"/>
  <c r="J25" i="1"/>
  <c r="I25" i="1"/>
  <c r="H42" i="1"/>
  <c r="H41" i="1" s="1"/>
  <c r="G42" i="1"/>
  <c r="G41" i="1" s="1"/>
  <c r="H33" i="1"/>
  <c r="G33" i="1"/>
  <c r="H25" i="1"/>
  <c r="G25" i="1"/>
  <c r="F42" i="1"/>
  <c r="F41" i="1" s="1"/>
  <c r="E42" i="1"/>
  <c r="E41" i="1" s="1"/>
  <c r="N29" i="1"/>
  <c r="M29" i="1" s="1"/>
  <c r="L29" i="1"/>
  <c r="F29" i="1"/>
  <c r="W38" i="1"/>
  <c r="W37" i="1" s="1"/>
  <c r="U38" i="1"/>
  <c r="T38" i="1"/>
  <c r="P38" i="1"/>
  <c r="O38" i="1"/>
  <c r="K38" i="1"/>
  <c r="J38" i="1"/>
  <c r="I38" i="1"/>
  <c r="G38" i="1"/>
  <c r="F33" i="1"/>
  <c r="E33" i="1"/>
  <c r="V43" i="1"/>
  <c r="T43" i="1"/>
  <c r="V39" i="1"/>
  <c r="T39" i="1"/>
  <c r="V34" i="1"/>
  <c r="T34" i="1"/>
  <c r="V30" i="1"/>
  <c r="T30" i="1"/>
  <c r="V26" i="1"/>
  <c r="T26" i="1"/>
  <c r="F25" i="1"/>
  <c r="F38" i="1" s="1"/>
  <c r="F37" i="1" s="1"/>
  <c r="W41" i="1"/>
  <c r="R41" i="1"/>
  <c r="Q41" i="1"/>
  <c r="N41" i="1"/>
  <c r="M41" i="1"/>
  <c r="K41" i="1"/>
  <c r="J41" i="1"/>
  <c r="J37" i="1"/>
  <c r="X32" i="1"/>
  <c r="W32" i="1"/>
  <c r="X24" i="1"/>
  <c r="W24" i="1"/>
  <c r="E25" i="1"/>
  <c r="V40" i="1"/>
  <c r="U40" i="1"/>
  <c r="U37" i="1" s="1"/>
  <c r="T40" i="1"/>
  <c r="S40" i="1"/>
  <c r="R40" i="1"/>
  <c r="Q40" i="1"/>
  <c r="Q37" i="1" s="1"/>
  <c r="P40" i="1"/>
  <c r="O40" i="1"/>
  <c r="N40" i="1"/>
  <c r="M40" i="1"/>
  <c r="L40" i="1"/>
  <c r="K40" i="1"/>
  <c r="J40" i="1"/>
  <c r="I40" i="1"/>
  <c r="H40" i="1"/>
  <c r="G40" i="1"/>
  <c r="F40" i="1"/>
  <c r="E40" i="1"/>
  <c r="V35" i="1"/>
  <c r="V32" i="1" s="1"/>
  <c r="U35" i="1"/>
  <c r="T35" i="1"/>
  <c r="S35" i="1"/>
  <c r="R35" i="1"/>
  <c r="Q35" i="1"/>
  <c r="Q32" i="1" s="1"/>
  <c r="P35" i="1"/>
  <c r="O35" i="1"/>
  <c r="N35" i="1"/>
  <c r="M35" i="1"/>
  <c r="M32" i="1" s="1"/>
  <c r="L35" i="1"/>
  <c r="K35" i="1"/>
  <c r="K32" i="1" s="1"/>
  <c r="J35" i="1"/>
  <c r="I35" i="1"/>
  <c r="I32" i="1" s="1"/>
  <c r="H35" i="1"/>
  <c r="G35" i="1"/>
  <c r="G32" i="1" s="1"/>
  <c r="F35" i="1"/>
  <c r="E35" i="1"/>
  <c r="V31" i="1"/>
  <c r="U31" i="1"/>
  <c r="T31" i="1"/>
  <c r="S31" i="1"/>
  <c r="R31" i="1"/>
  <c r="R28" i="1" s="1"/>
  <c r="Q31" i="1"/>
  <c r="Q28" i="1" s="1"/>
  <c r="P31" i="1"/>
  <c r="O31" i="1"/>
  <c r="N31" i="1"/>
  <c r="M31" i="1"/>
  <c r="L31" i="1"/>
  <c r="K31" i="1"/>
  <c r="J31" i="1"/>
  <c r="I31" i="1"/>
  <c r="H31" i="1"/>
  <c r="G31" i="1"/>
  <c r="F31" i="1"/>
  <c r="F28" i="1" s="1"/>
  <c r="E31" i="1"/>
  <c r="V27" i="1"/>
  <c r="U27" i="1"/>
  <c r="U24" i="1" s="1"/>
  <c r="T27" i="1"/>
  <c r="S27" i="1"/>
  <c r="R27" i="1"/>
  <c r="Q27" i="1"/>
  <c r="P27" i="1"/>
  <c r="P24" i="1" s="1"/>
  <c r="O27" i="1"/>
  <c r="O24" i="1" s="1"/>
  <c r="N27" i="1"/>
  <c r="M27" i="1"/>
  <c r="L27" i="1"/>
  <c r="K27" i="1"/>
  <c r="J27" i="1"/>
  <c r="J24" i="1" s="1"/>
  <c r="I27" i="1"/>
  <c r="H27" i="1"/>
  <c r="G27" i="1"/>
  <c r="G24" i="1" s="1"/>
  <c r="F27" i="1"/>
  <c r="E27" i="1"/>
  <c r="R19" i="1"/>
  <c r="V22" i="1"/>
  <c r="U22" i="1"/>
  <c r="T22" i="1"/>
  <c r="S22" i="1"/>
  <c r="R22" i="1"/>
  <c r="Q22" i="1"/>
  <c r="Q19" i="1" s="1"/>
  <c r="P22" i="1"/>
  <c r="O22" i="1"/>
  <c r="N22" i="1"/>
  <c r="N19" i="1" s="1"/>
  <c r="M22" i="1"/>
  <c r="M19" i="1" s="1"/>
  <c r="L22" i="1"/>
  <c r="L19" i="1" s="1"/>
  <c r="K22" i="1"/>
  <c r="K19" i="1" s="1"/>
  <c r="J22" i="1"/>
  <c r="I22" i="1"/>
  <c r="I19" i="1" s="1"/>
  <c r="H22" i="1"/>
  <c r="G22" i="1"/>
  <c r="F22" i="1"/>
  <c r="E22" i="1"/>
  <c r="W20" i="1"/>
  <c r="W29" i="1" s="1"/>
  <c r="W28" i="1" s="1"/>
  <c r="X20" i="1"/>
  <c r="X29" i="1" s="1"/>
  <c r="X28" i="1" s="1"/>
  <c r="U20" i="1"/>
  <c r="U29" i="1" s="1"/>
  <c r="S20" i="1"/>
  <c r="S19" i="1" s="1"/>
  <c r="F20" i="1"/>
  <c r="F19" i="1" s="1"/>
  <c r="E20" i="1"/>
  <c r="E29" i="1" s="1"/>
  <c r="P20" i="1"/>
  <c r="P29" i="1" s="1"/>
  <c r="P28" i="1" s="1"/>
  <c r="J20" i="1"/>
  <c r="J19" i="1" s="1"/>
  <c r="I20" i="1"/>
  <c r="I29" i="1" s="1"/>
  <c r="H20" i="1"/>
  <c r="H29" i="1" s="1"/>
  <c r="H28" i="1" s="1"/>
  <c r="G20" i="1"/>
  <c r="G29" i="1" s="1"/>
  <c r="G28" i="1" s="1"/>
  <c r="U19" i="1" l="1"/>
  <c r="F24" i="1"/>
  <c r="F32" i="1"/>
  <c r="J32" i="1"/>
  <c r="N32" i="1"/>
  <c r="R32" i="1"/>
  <c r="L24" i="1"/>
  <c r="V24" i="1"/>
  <c r="M38" i="1"/>
  <c r="M37" i="1" s="1"/>
  <c r="K24" i="1"/>
  <c r="Q24" i="1"/>
  <c r="M28" i="1"/>
  <c r="H24" i="1"/>
  <c r="P32" i="1"/>
  <c r="U28" i="1"/>
  <c r="E28" i="1"/>
  <c r="O19" i="1"/>
  <c r="E19" i="1"/>
  <c r="I24" i="1"/>
  <c r="E32" i="1"/>
  <c r="E24" i="1"/>
  <c r="S24" i="1"/>
  <c r="N28" i="1"/>
  <c r="T24" i="1"/>
  <c r="H32" i="1"/>
  <c r="L32" i="1"/>
  <c r="U32" i="1"/>
  <c r="N38" i="1"/>
  <c r="N37" i="1" s="1"/>
  <c r="N24" i="1"/>
  <c r="G19" i="1"/>
  <c r="W19" i="1"/>
  <c r="K37" i="1"/>
  <c r="L28" i="1"/>
  <c r="S32" i="1"/>
  <c r="V20" i="1"/>
  <c r="H19" i="1"/>
  <c r="P19" i="1"/>
  <c r="X19" i="1"/>
  <c r="M24" i="1"/>
  <c r="S41" i="1"/>
  <c r="H38" i="1"/>
  <c r="H37" i="1" s="1"/>
  <c r="P37" i="1"/>
  <c r="S29" i="1"/>
  <c r="S28" i="1" s="1"/>
  <c r="T33" i="1"/>
  <c r="T32" i="1"/>
  <c r="T41" i="1"/>
  <c r="E38" i="1"/>
  <c r="E37" i="1" s="1"/>
  <c r="I37" i="1"/>
  <c r="I28" i="1"/>
  <c r="O32" i="1"/>
  <c r="J29" i="1"/>
  <c r="J28" i="1" s="1"/>
  <c r="O28" i="1"/>
  <c r="R24" i="1"/>
  <c r="T20" i="1"/>
  <c r="G37" i="1"/>
  <c r="O37" i="1"/>
  <c r="T19" i="2"/>
  <c r="T29" i="2"/>
  <c r="T28" i="2" s="1"/>
  <c r="V37" i="1"/>
  <c r="R37" i="1"/>
  <c r="K29" i="1"/>
  <c r="K28" i="1" s="1"/>
  <c r="T37" i="1"/>
  <c r="V21" i="1"/>
  <c r="T21" i="1"/>
  <c r="U17" i="1"/>
  <c r="T29" i="1" l="1"/>
  <c r="T28" i="1" s="1"/>
  <c r="T19" i="1"/>
  <c r="V19" i="1"/>
  <c r="V29" i="1"/>
  <c r="V28" i="1" s="1"/>
</calcChain>
</file>

<file path=xl/sharedStrings.xml><?xml version="1.0" encoding="utf-8"?>
<sst xmlns="http://schemas.openxmlformats.org/spreadsheetml/2006/main" count="290" uniqueCount="68">
  <si>
    <t>Показатель</t>
  </si>
  <si>
    <t>ночная зона</t>
  </si>
  <si>
    <t>полупиковая зона</t>
  </si>
  <si>
    <t>пиковая зона</t>
  </si>
  <si>
    <t>Ханты-Мансийский район</t>
  </si>
  <si>
    <t>НН</t>
  </si>
  <si>
    <t>Единица измерения</t>
  </si>
  <si>
    <t>Октябрьский район</t>
  </si>
  <si>
    <t>Нижневартовский район</t>
  </si>
  <si>
    <t>Белоярский район</t>
  </si>
  <si>
    <t>СН II</t>
  </si>
  <si>
    <t>Кондинский район</t>
  </si>
  <si>
    <t>Сургутский район</t>
  </si>
  <si>
    <t>руб./кВт.ч</t>
  </si>
  <si>
    <t>дневная зона (пиковая и полупиковая)</t>
  </si>
  <si>
    <t>*Приказы Региональной службой по тарифам ХМАО-Югры:</t>
  </si>
  <si>
    <t>стоимость покупки электрической энергии у генерирующей компании</t>
  </si>
  <si>
    <t>сбытовая надбавка ГП</t>
  </si>
  <si>
    <t>услуги по передаче электрической энергии</t>
  </si>
  <si>
    <t>1. Группа потребителей: НАСЕЛЕНИЕ И ПРИРАВНЕННЫЕ К НЕМУ ПОТРЕБИТЕЛИ</t>
  </si>
  <si>
    <t>2. Группа потребителей: ПРОЧИЕ</t>
  </si>
  <si>
    <t>Приказ*                                  (номер дата)</t>
  </si>
  <si>
    <t xml:space="preserve">Цена на электрическую энергию (мощность), поставляемую гарантирующим поставщиком ОАО "ЮТЭК" потребителям на территории ХМАО-Югры, не объединенной в ценовые зоны оптового рынка, по договорам энергоснабжения </t>
  </si>
  <si>
    <t>Одноставочный тариф (без НДС)</t>
  </si>
  <si>
    <t>Одноставочные тарифы, дифференцированные по трем зонам суток (без НДС)</t>
  </si>
  <si>
    <t>Одноставочные тарифы, дифференцированные по двум зонам суток (без НДС)</t>
  </si>
  <si>
    <t>пп. «а» п.20 (ПП №24 от 21.01.2004 г.)</t>
  </si>
  <si>
    <t>Период регулирования: 2013 год</t>
  </si>
  <si>
    <t>Период действия тарифов: с января по июнь 2013 года</t>
  </si>
  <si>
    <t>с 01.01.2013 по 30.06.2013</t>
  </si>
  <si>
    <t>с 01.07.2013 по 31.12.2013</t>
  </si>
  <si>
    <t>№ 119-нп от 12.12.2012</t>
  </si>
  <si>
    <t>Березовский район (ГАЗ)</t>
  </si>
  <si>
    <t>Березовский район (ДТ)</t>
  </si>
  <si>
    <t>№ 120-нп от 12.12.2012</t>
  </si>
  <si>
    <t>№ 121-нп от 12.12.2012</t>
  </si>
  <si>
    <t>№ 123-нп от 12.12.2012</t>
  </si>
  <si>
    <t>Решение РЭК Тюменской области, ХМАО, ЯНАО от 27.11.2012 года №400</t>
  </si>
  <si>
    <t>Решение РЭК Тюменской области, ХМАО, ЯНАО от 21.05.2013 года №54</t>
  </si>
  <si>
    <t>Период действия тарифов: с июля по декабрь 2013 года</t>
  </si>
  <si>
    <t>№ 123-нп от 12.12.2012     № 53-нп от 15.07.2013</t>
  </si>
  <si>
    <t xml:space="preserve">Приказ РСТ от 15.07.2013 № 53-нп </t>
  </si>
  <si>
    <t xml:space="preserve"> "О внесение изменений в приказ РСТ ХМАО-Югры от 12.12.2012 № 123-нп "Об установлении тарифов на электрическую энергию (мощность), поставляемую гарантирующим поставщиком ОАО "ЮТЭК" потребителям на территории ХМАО-Югры, не объединенной в ценовые зоны оптового рынка, по договорам энергоснабжения"</t>
  </si>
  <si>
    <t xml:space="preserve">Приказ РСТ от 12.07.2013 № 52-нп </t>
  </si>
  <si>
    <t>"О внесении изменений в приказ РСТ ХМАО-Югры от 12.12.2012 № 121-нп "Об установлении тарифов на услуги по передаче электрической энергии по электрическим сетым ОАО "ЮРЭСК"  на территории ХМАО-Югры, не объединенной в ценовые зоны оптового рынка"</t>
  </si>
  <si>
    <t>Приказ РСТ от 15.07.2013 № 51-нп</t>
  </si>
  <si>
    <t>Приказ РСТ от 15.07.2013 № 50-нп</t>
  </si>
  <si>
    <t xml:space="preserve">Приказ РСТ от 12.12.2012 № 124-нп </t>
  </si>
  <si>
    <t>"Об установлении тарифов на электрическую энергию (мощность), отпускаемую гарантирующим поставщиком ОАО "ЮТЭК" гарантирующему поставщику ОАО "Оборонэнергосбыт" в зоне деятельности филиала "Уральский" на территории городского поселения Березово Березовского района, не объединенной в ценовые зоны оптового рынка"</t>
  </si>
  <si>
    <t>Приказ РСТ от 12.12.2012 № 123-нп</t>
  </si>
  <si>
    <t>"Об установлении тарифов на электрическую энергию (мощность), отпускаемую гарантирующим поставщиком ОАО "ЮТЭК" потребителям на территории ХМАО-Югры, не объединенной в ценовые зоны оптового рынка"</t>
  </si>
  <si>
    <t>Приказ РСТ от 12.12.2012 № 122-нп</t>
  </si>
  <si>
    <t>"Об установлении тарифов для ОАО "ЮРЭСК", оказывающего услуги по передаче электрической энергии, приобретающего ее в целях компенсации потерь в сетях, принадлежащих данной организации на праве собственности или на ином законном основании, у ОАО "ЮТЭК" на территории ХМАО-Югры, не объединенной в ценовые зоны оптового рынка"</t>
  </si>
  <si>
    <t>Приказ РСТ от 12.12.2012 № 121-нп</t>
  </si>
  <si>
    <t>"Об установлении тарифов на услуги по передаче электрической энергии по электрическим сетым ОАО "ЮРЭСК"  на территории ХМАО-Югры, не объединенной в ценовые зоны оптового рынка"</t>
  </si>
  <si>
    <t>Приказ РСТ от 12.12.2012 № 120-нп</t>
  </si>
  <si>
    <t>"Об установлении сбытовых надбавок гарантирующих поставщиков электрической энергии на территории Ханты-Мансийского автономного округа - Югры, не объединенной в ценовые зоны оптового рынка"</t>
  </si>
  <si>
    <t>Приказ РСТ от 12.12.2012 № 119-нп</t>
  </si>
  <si>
    <t>"Об установлении тарифов на электрическую энергию, производимую электростанциями ОАО "Югорская Генерирующая Компания" и поставляемую покупателям на розничном рынке на территории Ханты-Мансийского автономного округа-Югры, не объединенной в ценовые зоны оптового рынка"</t>
  </si>
  <si>
    <t>№ 119-нп от 12.12.2012                  № 50-нп от 15.07.2013</t>
  </si>
  <si>
    <t>"О внесении изменений в приказ РСТ ХМАО-Югры от 12.12.2012 № 122-нп "Об установлении тарифов для ОАО "ЮРЭСК", оказывающего услуги по передаче электрической энергии, приобретающего ее в целях компенсации потерь в сетях, принадлежащих данной организации на праве собственности или на ином законном основании, у ОАО "ЮТЭК" на территории ХМАО-Югры, не объединенной в ценовые зоны оптового рынка"</t>
  </si>
  <si>
    <t>"О внесении изменений в приказ РСТ ХМАО-Югры от 12.12.2012 № 119-нп "Об установлении тарифов на электрическую энергию, производимую электростанциями ОАО "Югорская Генерирующая Компания" и поставляемую покупателям на розничном рынке на территории Ханты-Мансийского автономного округа-Югры, не объединенной в ценовые зоны оптового рынка"</t>
  </si>
  <si>
    <t>№ 121-нп от 12.12.2012                    № 52-нп от 12.12.2012</t>
  </si>
  <si>
    <t>Приказ РСТ от 12.12.2012 № 124-нп</t>
  </si>
  <si>
    <t xml:space="preserve">Приказ РСТ от 12.12.2012 № 120-нп </t>
  </si>
  <si>
    <t>"Об установлении тарифов на электрическую энергию, производимую электростанциями ОАО "Югорская Генерирующая Компания" и поставляемую покупателям на розничном рынке на территории Ханты-Мансийского автономного округа-Югры, не объединенной в ценовые зоны оптового рынка""</t>
  </si>
  <si>
    <t>Решение РЭК Тюменской области, ХМАО, ЯНАО от 27.11.2012 года № 400</t>
  </si>
  <si>
    <t>Решение РЭК Тюменской области, ХМАО, ЯНАО от 21.05.2013 года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</si>
</sst>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4" fontId="1" fillId="0" borderId="0" xfId="0" applyNumberFormat="1" applyFont="1"/>
    <xf numFmtId="0" fontId="4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3" fillId="2" borderId="14" xfId="0" applyFont="1" applyFill="1" applyBorder="1"/>
    <xf numFmtId="0" fontId="1" fillId="0" borderId="14" xfId="0" applyFont="1" applyBorder="1"/>
    <xf numFmtId="0" fontId="1" fillId="0" borderId="17" xfId="0" applyFont="1" applyBorder="1"/>
    <xf numFmtId="0" fontId="1" fillId="0" borderId="22" xfId="0" applyFont="1" applyBorder="1" applyAlignment="1">
      <alignment horizontal="center" vertical="center"/>
    </xf>
    <xf numFmtId="0" fontId="1" fillId="3" borderId="6" xfId="0" applyFont="1" applyFill="1" applyBorder="1"/>
    <xf numFmtId="0" fontId="1" fillId="3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1" applyFont="1" applyAlignment="1">
      <alignment vertical="top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yutec-hm.ru/upload/medialibrary/f9e/2013_rst_&#8470;119-np_ot_12.12.12_(generaciya).pdf" TargetMode="External"/><Relationship Id="rId3" Type="http://schemas.openxmlformats.org/officeDocument/2006/relationships/hyperlink" Target="http://yutec-hm.ru/upload/medialibrary/728/2013_rst_&#8470;124-np_ot_12.12.2012_(tarify_oboronenergosbyt).pdf" TargetMode="External"/><Relationship Id="rId7" Type="http://schemas.openxmlformats.org/officeDocument/2006/relationships/hyperlink" Target="http://yutec-hm.ru/upload/medialibrary/985/2013_rst_&#8470;120-np_ot_12.12.2012_(sn).pdf" TargetMode="External"/><Relationship Id="rId2" Type="http://schemas.openxmlformats.org/officeDocument/2006/relationships/hyperlink" Target="http://yutec-hm.ru/upload/medialibrary/851/2013_rek_&#8470;54_ot_21.05.2013_nasel_(izm._&#8470;400).pdf" TargetMode="External"/><Relationship Id="rId1" Type="http://schemas.openxmlformats.org/officeDocument/2006/relationships/hyperlink" Target="http://yutec-hm.ru/upload/medialibrary/bff/2013_rek_&#8470;400_ot_27.11.2012_naselenie.pdf" TargetMode="External"/><Relationship Id="rId6" Type="http://schemas.openxmlformats.org/officeDocument/2006/relationships/hyperlink" Target="http://yutec-hm.ru/upload/medialibrary/5c5/2013_rst_&#8470;121-np_ot_12.12.2012_(peredacha).pdf" TargetMode="External"/><Relationship Id="rId5" Type="http://schemas.openxmlformats.org/officeDocument/2006/relationships/hyperlink" Target="http://yutec-hm.ru/upload/medialibrary/632/2013_rst_&#8470;122-np_ot_12.12.2012_(poteri).pdf" TargetMode="External"/><Relationship Id="rId4" Type="http://schemas.openxmlformats.org/officeDocument/2006/relationships/hyperlink" Target="http://yutec-hm.ru/upload/medialibrary/44e/2013_rst_&#8470;123-np_ot_12.12.2012_(konechnye_tarify)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yutec-hm.ru/upload/medialibrary/44e/2013_rst_&#8470;123-np_ot_12.12.2012_(konechnye_tarify)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yutec-hm.ru/upload/medialibrary/d0d/2013_rst_&#8470;53-np_ot_15.07.2013_(kon._tarif)_izm._123-np.pdf" TargetMode="External"/><Relationship Id="rId7" Type="http://schemas.openxmlformats.org/officeDocument/2006/relationships/hyperlink" Target="http://yutec-hm.ru/upload/medialibrary/728/2013_rst_&#8470;124-np_ot_12.12.2012_(tarify_oboronenergosbyt).pdf" TargetMode="External"/><Relationship Id="rId12" Type="http://schemas.openxmlformats.org/officeDocument/2006/relationships/hyperlink" Target="http://yutec-hm.ru/upload/medialibrary/f9e/2013_rst_&#8470;119-np_ot_12.12.12_(generaciya).pdf" TargetMode="External"/><Relationship Id="rId2" Type="http://schemas.openxmlformats.org/officeDocument/2006/relationships/hyperlink" Target="http://yutec-hm.ru/upload/medialibrary/851/2013_rek_&#8470;54_ot_21.05.2013_nasel_(izm._&#8470;400).pdf" TargetMode="External"/><Relationship Id="rId1" Type="http://schemas.openxmlformats.org/officeDocument/2006/relationships/hyperlink" Target="http://yutec-hm.ru/upload/medialibrary/bff/2013_rek_&#8470;400_ot_27.11.2012_naselenie.pdf" TargetMode="External"/><Relationship Id="rId6" Type="http://schemas.openxmlformats.org/officeDocument/2006/relationships/hyperlink" Target="http://yutec-hm.ru/upload/medialibrary/eb9/2013_rst_&#8470;50-np_ot_15.07.2013_(generaciya)_izm._121-np.pdf" TargetMode="External"/><Relationship Id="rId11" Type="http://schemas.openxmlformats.org/officeDocument/2006/relationships/hyperlink" Target="http://yutec-hm.ru/upload/medialibrary/985/2013_rst_&#8470;120-np_ot_12.12.2012_(sn).pdf" TargetMode="External"/><Relationship Id="rId5" Type="http://schemas.openxmlformats.org/officeDocument/2006/relationships/hyperlink" Target="http://yutec-hm.ru/upload/medialibrary/be4/2013_rst_&#8470;51-np_ot_15.07.2013_(poteri).pdf" TargetMode="External"/><Relationship Id="rId10" Type="http://schemas.openxmlformats.org/officeDocument/2006/relationships/hyperlink" Target="http://yutec-hm.ru/upload/medialibrary/5c5/2013_rst_&#8470;121-np_ot_12.12.2012_(peredacha).pdf" TargetMode="External"/><Relationship Id="rId4" Type="http://schemas.openxmlformats.org/officeDocument/2006/relationships/hyperlink" Target="http://yutec-hm.ru/upload/medialibrary/202/2013_rst_&#8470;52-np_ot_15.07.2012_(peredacha)_izm._121-np.pdf" TargetMode="External"/><Relationship Id="rId9" Type="http://schemas.openxmlformats.org/officeDocument/2006/relationships/hyperlink" Target="http://yutec-hm.ru/upload/medialibrary/632/2013_rst_&#8470;122-np_ot_12.12.2012_(poteri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Z52"/>
  <sheetViews>
    <sheetView tabSelected="1" zoomScale="85" zoomScaleNormal="85" workbookViewId="0">
      <selection activeCell="D14" sqref="D14"/>
    </sheetView>
  </sheetViews>
  <sheetFormatPr defaultRowHeight="15" x14ac:dyDescent="0.25"/>
  <cols>
    <col min="1" max="1" width="7" style="1" customWidth="1"/>
    <col min="2" max="2" width="40.5703125" style="1" customWidth="1"/>
    <col min="3" max="3" width="23.42578125" style="1" customWidth="1"/>
    <col min="4" max="4" width="18.5703125" style="1" customWidth="1"/>
    <col min="5" max="24" width="16.140625" style="1" customWidth="1"/>
    <col min="25" max="25" width="9.140625" style="1"/>
    <col min="26" max="26" width="13.140625" style="1" bestFit="1" customWidth="1"/>
    <col min="27" max="16384" width="9.140625" style="1"/>
  </cols>
  <sheetData>
    <row r="3" spans="2:24" ht="19.5" customHeight="1" x14ac:dyDescent="0.25">
      <c r="B3" s="49" t="s">
        <v>22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2:24" ht="15.75" customHeight="1" x14ac:dyDescent="0.25">
      <c r="B4" s="49" t="s">
        <v>26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2:24" ht="15.7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ht="20.25" customHeight="1" x14ac:dyDescent="0.3">
      <c r="B6" s="61" t="s">
        <v>27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24" ht="20.25" customHeight="1" x14ac:dyDescent="0.3">
      <c r="B7" s="61" t="s">
        <v>28</v>
      </c>
      <c r="C7" s="61"/>
      <c r="D7" s="61"/>
      <c r="E7" s="26"/>
      <c r="F7" s="26"/>
      <c r="G7" s="26"/>
      <c r="H7" s="26"/>
      <c r="I7" s="26"/>
      <c r="J7" s="26"/>
      <c r="K7" s="26"/>
      <c r="L7" s="26"/>
      <c r="M7" s="26"/>
      <c r="O7" s="26"/>
    </row>
    <row r="9" spans="2:24" ht="37.5" customHeight="1" x14ac:dyDescent="0.25">
      <c r="B9" s="49" t="s">
        <v>19</v>
      </c>
      <c r="C9" s="49"/>
      <c r="D9" s="49"/>
    </row>
    <row r="10" spans="2:24" s="43" customFormat="1" ht="15.75" x14ac:dyDescent="0.25">
      <c r="B10" s="65" t="s">
        <v>66</v>
      </c>
      <c r="C10" s="65"/>
      <c r="D10" s="65"/>
    </row>
    <row r="11" spans="2:24" s="43" customFormat="1" ht="15.75" x14ac:dyDescent="0.25">
      <c r="B11" s="66" t="s">
        <v>67</v>
      </c>
      <c r="C11" s="66"/>
      <c r="D11" s="66"/>
    </row>
    <row r="12" spans="2:24" ht="15.75" x14ac:dyDescent="0.25">
      <c r="B12" s="30"/>
    </row>
    <row r="14" spans="2:24" ht="15.75" x14ac:dyDescent="0.25">
      <c r="B14" s="30" t="s">
        <v>20</v>
      </c>
    </row>
    <row r="15" spans="2:24" ht="15.75" thickBot="1" x14ac:dyDescent="0.3"/>
    <row r="16" spans="2:24" ht="30.75" customHeight="1" x14ac:dyDescent="0.25">
      <c r="B16" s="53" t="s">
        <v>0</v>
      </c>
      <c r="C16" s="54" t="s">
        <v>21</v>
      </c>
      <c r="D16" s="58" t="s">
        <v>6</v>
      </c>
      <c r="E16" s="53" t="s">
        <v>4</v>
      </c>
      <c r="F16" s="55"/>
      <c r="G16" s="53" t="s">
        <v>7</v>
      </c>
      <c r="H16" s="55"/>
      <c r="I16" s="53" t="s">
        <v>8</v>
      </c>
      <c r="J16" s="55"/>
      <c r="K16" s="62" t="s">
        <v>32</v>
      </c>
      <c r="L16" s="63"/>
      <c r="M16" s="63"/>
      <c r="N16" s="64"/>
      <c r="O16" s="53" t="s">
        <v>33</v>
      </c>
      <c r="P16" s="55"/>
      <c r="Q16" s="53" t="s">
        <v>9</v>
      </c>
      <c r="R16" s="55"/>
      <c r="S16" s="53" t="s">
        <v>11</v>
      </c>
      <c r="T16" s="54"/>
      <c r="U16" s="54"/>
      <c r="V16" s="55"/>
      <c r="W16" s="53" t="s">
        <v>12</v>
      </c>
      <c r="X16" s="55"/>
    </row>
    <row r="17" spans="2:26" ht="41.25" customHeight="1" x14ac:dyDescent="0.25">
      <c r="B17" s="50"/>
      <c r="C17" s="51"/>
      <c r="D17" s="59"/>
      <c r="E17" s="13" t="s">
        <v>29</v>
      </c>
      <c r="F17" s="4" t="s">
        <v>30</v>
      </c>
      <c r="G17" s="13" t="s">
        <v>29</v>
      </c>
      <c r="H17" s="4" t="s">
        <v>30</v>
      </c>
      <c r="I17" s="13" t="s">
        <v>29</v>
      </c>
      <c r="J17" s="4" t="s">
        <v>30</v>
      </c>
      <c r="K17" s="70" t="s">
        <v>29</v>
      </c>
      <c r="L17" s="71"/>
      <c r="M17" s="72" t="s">
        <v>30</v>
      </c>
      <c r="N17" s="73"/>
      <c r="O17" s="13" t="s">
        <v>29</v>
      </c>
      <c r="P17" s="4" t="s">
        <v>30</v>
      </c>
      <c r="Q17" s="13" t="s">
        <v>29</v>
      </c>
      <c r="R17" s="4" t="s">
        <v>30</v>
      </c>
      <c r="S17" s="50" t="s">
        <v>29</v>
      </c>
      <c r="T17" s="51"/>
      <c r="U17" s="51" t="str">
        <f>X17</f>
        <v>с 01.07.2013 по 31.12.2013</v>
      </c>
      <c r="V17" s="52"/>
      <c r="W17" s="13" t="s">
        <v>29</v>
      </c>
      <c r="X17" s="4" t="s">
        <v>30</v>
      </c>
    </row>
    <row r="18" spans="2:26" ht="21.75" customHeight="1" thickBot="1" x14ac:dyDescent="0.3">
      <c r="B18" s="56"/>
      <c r="C18" s="57"/>
      <c r="D18" s="60"/>
      <c r="E18" s="14" t="s">
        <v>5</v>
      </c>
      <c r="F18" s="6" t="s">
        <v>5</v>
      </c>
      <c r="G18" s="14" t="s">
        <v>5</v>
      </c>
      <c r="H18" s="6" t="s">
        <v>5</v>
      </c>
      <c r="I18" s="14" t="s">
        <v>5</v>
      </c>
      <c r="J18" s="6" t="s">
        <v>5</v>
      </c>
      <c r="K18" s="34" t="s">
        <v>10</v>
      </c>
      <c r="L18" s="38" t="s">
        <v>5</v>
      </c>
      <c r="M18" s="5" t="s">
        <v>10</v>
      </c>
      <c r="N18" s="8" t="s">
        <v>5</v>
      </c>
      <c r="O18" s="14" t="s">
        <v>5</v>
      </c>
      <c r="P18" s="6" t="s">
        <v>5</v>
      </c>
      <c r="Q18" s="14" t="s">
        <v>5</v>
      </c>
      <c r="R18" s="6" t="s">
        <v>5</v>
      </c>
      <c r="S18" s="14" t="s">
        <v>10</v>
      </c>
      <c r="T18" s="5" t="s">
        <v>5</v>
      </c>
      <c r="U18" s="5" t="s">
        <v>10</v>
      </c>
      <c r="V18" s="6" t="s">
        <v>5</v>
      </c>
      <c r="W18" s="14" t="s">
        <v>5</v>
      </c>
      <c r="X18" s="6" t="s">
        <v>5</v>
      </c>
    </row>
    <row r="19" spans="2:26" s="2" customFormat="1" ht="33" customHeight="1" x14ac:dyDescent="0.25">
      <c r="B19" s="22" t="s">
        <v>23</v>
      </c>
      <c r="C19" s="7" t="s">
        <v>36</v>
      </c>
      <c r="D19" s="28" t="s">
        <v>13</v>
      </c>
      <c r="E19" s="24">
        <f>E20+E21+E22</f>
        <v>16.362109999999998</v>
      </c>
      <c r="F19" s="25">
        <f t="shared" ref="F19:X19" si="0">F20+F21+F22</f>
        <v>18.652519999999999</v>
      </c>
      <c r="G19" s="24">
        <f t="shared" si="0"/>
        <v>17.091139999999999</v>
      </c>
      <c r="H19" s="25">
        <f t="shared" si="0"/>
        <v>19.479899999999997</v>
      </c>
      <c r="I19" s="24">
        <f t="shared" si="0"/>
        <v>16.044539999999998</v>
      </c>
      <c r="J19" s="25">
        <f t="shared" si="0"/>
        <v>18.263069999999999</v>
      </c>
      <c r="K19" s="35">
        <f t="shared" si="0"/>
        <v>4.8281200000000002</v>
      </c>
      <c r="L19" s="23">
        <f t="shared" si="0"/>
        <v>5.4807799999999993</v>
      </c>
      <c r="M19" s="35">
        <f t="shared" si="0"/>
        <v>5.4112799999999996</v>
      </c>
      <c r="N19" s="25">
        <f t="shared" si="0"/>
        <v>6.2465600000000006</v>
      </c>
      <c r="O19" s="24">
        <f t="shared" si="0"/>
        <v>14.95087</v>
      </c>
      <c r="P19" s="25">
        <f t="shared" si="0"/>
        <v>18.808759999999999</v>
      </c>
      <c r="Q19" s="24">
        <f t="shared" si="0"/>
        <v>20.769660000000002</v>
      </c>
      <c r="R19" s="25">
        <f t="shared" si="0"/>
        <v>23.621929999999999</v>
      </c>
      <c r="S19" s="24">
        <f t="shared" si="0"/>
        <v>17.29749</v>
      </c>
      <c r="T19" s="23">
        <f t="shared" si="0"/>
        <v>17.435109999999998</v>
      </c>
      <c r="U19" s="23">
        <f t="shared" si="0"/>
        <v>20.383930000000003</v>
      </c>
      <c r="V19" s="25">
        <f t="shared" si="0"/>
        <v>21.020910000000001</v>
      </c>
      <c r="W19" s="24">
        <f t="shared" si="0"/>
        <v>54.801280000000006</v>
      </c>
      <c r="X19" s="25">
        <f t="shared" si="0"/>
        <v>54.892829999999996</v>
      </c>
      <c r="Z19" s="31"/>
    </row>
    <row r="20" spans="2:26" ht="33" customHeight="1" x14ac:dyDescent="0.25">
      <c r="B20" s="9" t="s">
        <v>16</v>
      </c>
      <c r="C20" s="3" t="s">
        <v>31</v>
      </c>
      <c r="D20" s="27" t="s">
        <v>13</v>
      </c>
      <c r="E20" s="10">
        <f>12712.84/1000</f>
        <v>12.71284</v>
      </c>
      <c r="F20" s="15">
        <f>13686.3/1000</f>
        <v>13.686299999999999</v>
      </c>
      <c r="G20" s="10">
        <f>14303.49/1000</f>
        <v>14.30349</v>
      </c>
      <c r="H20" s="15">
        <f>16124.65/1000</f>
        <v>16.124649999999999</v>
      </c>
      <c r="I20" s="10">
        <f>14210.07/1000</f>
        <v>14.21007</v>
      </c>
      <c r="J20" s="15">
        <f>15824.84/1000</f>
        <v>15.82484</v>
      </c>
      <c r="K20" s="36">
        <v>3.2674499999999997</v>
      </c>
      <c r="L20" s="3">
        <v>3.2674499999999997</v>
      </c>
      <c r="M20" s="36">
        <v>3.5485000000000002</v>
      </c>
      <c r="N20" s="15">
        <v>3.5485000000000002</v>
      </c>
      <c r="O20" s="10">
        <f>11965.87/1000</f>
        <v>11.965870000000001</v>
      </c>
      <c r="P20" s="15">
        <f>12111.93/1000</f>
        <v>12.111930000000001</v>
      </c>
      <c r="Q20" s="10">
        <v>18.342610000000001</v>
      </c>
      <c r="R20" s="15">
        <v>19.26708</v>
      </c>
      <c r="S20" s="10">
        <f>14852.83/1000</f>
        <v>14.852829999999999</v>
      </c>
      <c r="T20" s="3">
        <f>S20</f>
        <v>14.852829999999999</v>
      </c>
      <c r="U20" s="3">
        <f>15897.5/1000</f>
        <v>15.897500000000001</v>
      </c>
      <c r="V20" s="15">
        <f>U20</f>
        <v>15.897500000000001</v>
      </c>
      <c r="W20" s="10">
        <f>54460.55/1000</f>
        <v>54.460550000000005</v>
      </c>
      <c r="X20" s="15">
        <f>54552.1/1000</f>
        <v>54.552099999999996</v>
      </c>
      <c r="Z20" s="32"/>
    </row>
    <row r="21" spans="2:26" ht="33" customHeight="1" x14ac:dyDescent="0.25">
      <c r="B21" s="9" t="s">
        <v>17</v>
      </c>
      <c r="C21" s="3" t="s">
        <v>34</v>
      </c>
      <c r="D21" s="27" t="s">
        <v>13</v>
      </c>
      <c r="E21" s="10">
        <v>0.18038999999999999</v>
      </c>
      <c r="F21" s="15">
        <v>0.19173999999999999</v>
      </c>
      <c r="G21" s="10">
        <v>0.28608</v>
      </c>
      <c r="H21" s="15">
        <v>0.32612999999999998</v>
      </c>
      <c r="I21" s="10">
        <v>0.22781999999999999</v>
      </c>
      <c r="J21" s="15">
        <v>0.24215999999999999</v>
      </c>
      <c r="K21" s="36">
        <v>0.17352000000000001</v>
      </c>
      <c r="L21" s="3">
        <v>0.17352000000000001</v>
      </c>
      <c r="M21" s="36">
        <v>0.18568000000000001</v>
      </c>
      <c r="N21" s="15">
        <v>0.18568000000000001</v>
      </c>
      <c r="O21" s="10">
        <v>0.17352000000000001</v>
      </c>
      <c r="P21" s="15">
        <v>0.18568000000000001</v>
      </c>
      <c r="Q21" s="10">
        <v>0.43419999999999997</v>
      </c>
      <c r="R21" s="15">
        <v>0.46339999999999998</v>
      </c>
      <c r="S21" s="10">
        <v>0.17727999999999999</v>
      </c>
      <c r="T21" s="3">
        <f>S21</f>
        <v>0.17727999999999999</v>
      </c>
      <c r="U21" s="3">
        <v>0.18915999999999999</v>
      </c>
      <c r="V21" s="15">
        <f>U21</f>
        <v>0.18915999999999999</v>
      </c>
      <c r="W21" s="10">
        <v>0.34072999999999998</v>
      </c>
      <c r="X21" s="15">
        <v>0.34072999999999998</v>
      </c>
      <c r="Z21" s="32"/>
    </row>
    <row r="22" spans="2:26" ht="33" customHeight="1" x14ac:dyDescent="0.25">
      <c r="B22" s="9" t="s">
        <v>18</v>
      </c>
      <c r="C22" s="3" t="s">
        <v>35</v>
      </c>
      <c r="D22" s="27" t="s">
        <v>13</v>
      </c>
      <c r="E22" s="10">
        <f>3468.88/1000</f>
        <v>3.46888</v>
      </c>
      <c r="F22" s="15">
        <f>4774.48/1000</f>
        <v>4.7744799999999996</v>
      </c>
      <c r="G22" s="10">
        <f>2501.57/1000</f>
        <v>2.5015700000000001</v>
      </c>
      <c r="H22" s="15">
        <f>3029.12/1000</f>
        <v>3.0291199999999998</v>
      </c>
      <c r="I22" s="10">
        <f>1606.65/1000</f>
        <v>1.6066500000000001</v>
      </c>
      <c r="J22" s="15">
        <f>2196.07/1000</f>
        <v>2.1960700000000002</v>
      </c>
      <c r="K22" s="36">
        <f>1387.15/1000</f>
        <v>1.3871500000000001</v>
      </c>
      <c r="L22" s="3">
        <f>2039.81/1000</f>
        <v>2.0398100000000001</v>
      </c>
      <c r="M22" s="36">
        <f>1677.1/1000</f>
        <v>1.6770999999999998</v>
      </c>
      <c r="N22" s="15">
        <f>2512.38/1000</f>
        <v>2.5123800000000003</v>
      </c>
      <c r="O22" s="10">
        <f>2811.48/1000</f>
        <v>2.81148</v>
      </c>
      <c r="P22" s="15">
        <f>6511.15/1000</f>
        <v>6.5111499999999998</v>
      </c>
      <c r="Q22" s="10">
        <f>1992.85/1000</f>
        <v>1.99285</v>
      </c>
      <c r="R22" s="15">
        <f>3891.45/1000</f>
        <v>3.8914499999999999</v>
      </c>
      <c r="S22" s="10">
        <f>2267.38/1000</f>
        <v>2.2673800000000002</v>
      </c>
      <c r="T22" s="3">
        <f>2405/1000</f>
        <v>2.4049999999999998</v>
      </c>
      <c r="U22" s="3">
        <f>4297.27/1000</f>
        <v>4.2972700000000001</v>
      </c>
      <c r="V22" s="15">
        <f>4934.25/1000</f>
        <v>4.9342499999999996</v>
      </c>
      <c r="W22" s="10"/>
      <c r="X22" s="15"/>
      <c r="Z22" s="32"/>
    </row>
    <row r="23" spans="2:26" s="2" customFormat="1" ht="33" customHeight="1" x14ac:dyDescent="0.2">
      <c r="B23" s="67" t="s">
        <v>24</v>
      </c>
      <c r="C23" s="68"/>
      <c r="D23" s="69"/>
      <c r="E23" s="24"/>
      <c r="F23" s="25"/>
      <c r="G23" s="24"/>
      <c r="H23" s="25"/>
      <c r="I23" s="24"/>
      <c r="J23" s="25"/>
      <c r="K23" s="35"/>
      <c r="L23" s="23"/>
      <c r="M23" s="35"/>
      <c r="N23" s="25"/>
      <c r="O23" s="24"/>
      <c r="P23" s="25"/>
      <c r="Q23" s="24"/>
      <c r="R23" s="25"/>
      <c r="S23" s="24"/>
      <c r="T23" s="23"/>
      <c r="U23" s="23"/>
      <c r="V23" s="25"/>
      <c r="W23" s="24"/>
      <c r="X23" s="25"/>
    </row>
    <row r="24" spans="2:26" s="2" customFormat="1" ht="33" customHeight="1" x14ac:dyDescent="0.25">
      <c r="B24" s="22" t="s">
        <v>1</v>
      </c>
      <c r="C24" s="7" t="s">
        <v>36</v>
      </c>
      <c r="D24" s="28" t="s">
        <v>13</v>
      </c>
      <c r="E24" s="24">
        <f t="shared" ref="E24:X24" si="1">E25+E26+E27</f>
        <v>10.165520000000001</v>
      </c>
      <c r="F24" s="25">
        <f t="shared" si="1"/>
        <v>13.504000000000001</v>
      </c>
      <c r="G24" s="24">
        <f t="shared" si="1"/>
        <v>8.7541100000000007</v>
      </c>
      <c r="H24" s="25">
        <f t="shared" si="1"/>
        <v>12.865819999999999</v>
      </c>
      <c r="I24" s="24">
        <f t="shared" si="1"/>
        <v>8.5299200000000006</v>
      </c>
      <c r="J24" s="25">
        <f t="shared" si="1"/>
        <v>11.15462</v>
      </c>
      <c r="K24" s="35">
        <f t="shared" si="1"/>
        <v>3.3501100000000004</v>
      </c>
      <c r="L24" s="23">
        <f t="shared" si="1"/>
        <v>4.0027699999999999</v>
      </c>
      <c r="M24" s="35">
        <f t="shared" si="1"/>
        <v>3.5186399999999995</v>
      </c>
      <c r="N24" s="25">
        <f t="shared" si="1"/>
        <v>4.3539200000000005</v>
      </c>
      <c r="O24" s="24">
        <f t="shared" si="1"/>
        <v>9.3313600000000001</v>
      </c>
      <c r="P24" s="25">
        <f t="shared" si="1"/>
        <v>15.928789999999999</v>
      </c>
      <c r="Q24" s="24">
        <f t="shared" si="1"/>
        <v>9.8055400000000006</v>
      </c>
      <c r="R24" s="25">
        <f t="shared" si="1"/>
        <v>14.36318</v>
      </c>
      <c r="S24" s="24">
        <f t="shared" si="1"/>
        <v>9.3508999999999993</v>
      </c>
      <c r="T24" s="23">
        <f t="shared" si="1"/>
        <v>9.4885199999999994</v>
      </c>
      <c r="U24" s="23">
        <f t="shared" si="1"/>
        <v>14.033470000000001</v>
      </c>
      <c r="V24" s="25">
        <f t="shared" si="1"/>
        <v>14.670449999999999</v>
      </c>
      <c r="W24" s="24">
        <f t="shared" si="1"/>
        <v>8.5026799999999998</v>
      </c>
      <c r="X24" s="25">
        <f t="shared" si="1"/>
        <v>10.99971</v>
      </c>
    </row>
    <row r="25" spans="2:26" ht="33" customHeight="1" x14ac:dyDescent="0.25">
      <c r="B25" s="9" t="s">
        <v>16</v>
      </c>
      <c r="C25" s="3" t="s">
        <v>31</v>
      </c>
      <c r="D25" s="27" t="s">
        <v>13</v>
      </c>
      <c r="E25" s="10">
        <f>6516.25/1000</f>
        <v>6.5162500000000003</v>
      </c>
      <c r="F25" s="15">
        <f>8537.78/1000</f>
        <v>8.5377800000000015</v>
      </c>
      <c r="G25" s="10">
        <f>5966.46/1000</f>
        <v>5.9664599999999997</v>
      </c>
      <c r="H25" s="15">
        <f>9510.57/1000</f>
        <v>9.5105699999999995</v>
      </c>
      <c r="I25" s="10">
        <f>6695.45/1000</f>
        <v>6.6954500000000001</v>
      </c>
      <c r="J25" s="15">
        <f>8716.39/1000</f>
        <v>8.7163899999999988</v>
      </c>
      <c r="K25" s="36">
        <f>1789.44/1000</f>
        <v>1.7894400000000001</v>
      </c>
      <c r="L25" s="3">
        <f>1789.44/1000</f>
        <v>1.7894400000000001</v>
      </c>
      <c r="M25" s="36">
        <f>1655.86/1000</f>
        <v>1.6558599999999999</v>
      </c>
      <c r="N25" s="15">
        <f>M25</f>
        <v>1.6558599999999999</v>
      </c>
      <c r="O25" s="10">
        <f>6346.36/1000</f>
        <v>6.3463599999999998</v>
      </c>
      <c r="P25" s="15">
        <f>9231.96/1000</f>
        <v>9.2319599999999991</v>
      </c>
      <c r="Q25" s="10">
        <f>7378.49/1000</f>
        <v>7.3784900000000002</v>
      </c>
      <c r="R25" s="15">
        <f>10008.33/1000</f>
        <v>10.008329999999999</v>
      </c>
      <c r="S25" s="10">
        <f>6906.24/1000</f>
        <v>6.9062399999999995</v>
      </c>
      <c r="T25" s="3">
        <f>6906.24/1000</f>
        <v>6.9062399999999995</v>
      </c>
      <c r="U25" s="3">
        <f>9547.04/1000</f>
        <v>9.5470400000000009</v>
      </c>
      <c r="V25" s="15">
        <f>9547.04/1000</f>
        <v>9.5470400000000009</v>
      </c>
      <c r="W25" s="10">
        <f>8161.95/1000</f>
        <v>8.1619499999999992</v>
      </c>
      <c r="X25" s="15">
        <f>10658.98/1000</f>
        <v>10.65898</v>
      </c>
    </row>
    <row r="26" spans="2:26" ht="33" customHeight="1" x14ac:dyDescent="0.25">
      <c r="B26" s="9" t="s">
        <v>17</v>
      </c>
      <c r="C26" s="3" t="s">
        <v>34</v>
      </c>
      <c r="D26" s="27" t="s">
        <v>13</v>
      </c>
      <c r="E26" s="10">
        <v>0.18038999999999999</v>
      </c>
      <c r="F26" s="15">
        <v>0.19173999999999999</v>
      </c>
      <c r="G26" s="10">
        <v>0.28608</v>
      </c>
      <c r="H26" s="15">
        <v>0.32612999999999998</v>
      </c>
      <c r="I26" s="10">
        <v>0.22781999999999999</v>
      </c>
      <c r="J26" s="15">
        <v>0.24215999999999999</v>
      </c>
      <c r="K26" s="3">
        <v>0.17352000000000001</v>
      </c>
      <c r="L26" s="3">
        <v>0.17352000000000001</v>
      </c>
      <c r="M26" s="36">
        <v>0.18568000000000001</v>
      </c>
      <c r="N26" s="15">
        <v>0.18568000000000001</v>
      </c>
      <c r="O26" s="10">
        <v>0.17352000000000001</v>
      </c>
      <c r="P26" s="15">
        <v>0.18568000000000001</v>
      </c>
      <c r="Q26" s="10">
        <v>0.43419999999999997</v>
      </c>
      <c r="R26" s="15">
        <v>0.46339999999999998</v>
      </c>
      <c r="S26" s="10">
        <v>0.17727999999999999</v>
      </c>
      <c r="T26" s="3">
        <f>S26</f>
        <v>0.17727999999999999</v>
      </c>
      <c r="U26" s="3">
        <v>0.18915999999999999</v>
      </c>
      <c r="V26" s="15">
        <f>U26</f>
        <v>0.18915999999999999</v>
      </c>
      <c r="W26" s="10">
        <v>0.34072999999999998</v>
      </c>
      <c r="X26" s="15">
        <v>0.34072999999999998</v>
      </c>
      <c r="Z26" s="32"/>
    </row>
    <row r="27" spans="2:26" ht="33" customHeight="1" x14ac:dyDescent="0.25">
      <c r="B27" s="9" t="s">
        <v>18</v>
      </c>
      <c r="C27" s="3" t="s">
        <v>35</v>
      </c>
      <c r="D27" s="27" t="s">
        <v>13</v>
      </c>
      <c r="E27" s="10">
        <f>3468.88/1000</f>
        <v>3.46888</v>
      </c>
      <c r="F27" s="15">
        <f>4774.48/1000</f>
        <v>4.7744799999999996</v>
      </c>
      <c r="G27" s="10">
        <f>2501.57/1000</f>
        <v>2.5015700000000001</v>
      </c>
      <c r="H27" s="15">
        <f>3029.12/1000</f>
        <v>3.0291199999999998</v>
      </c>
      <c r="I27" s="10">
        <f>1606.65/1000</f>
        <v>1.6066500000000001</v>
      </c>
      <c r="J27" s="15">
        <f>2196.07/1000</f>
        <v>2.1960700000000002</v>
      </c>
      <c r="K27" s="36">
        <f>1387.15/1000</f>
        <v>1.3871500000000001</v>
      </c>
      <c r="L27" s="3">
        <f>2039.81/1000</f>
        <v>2.0398100000000001</v>
      </c>
      <c r="M27" s="36">
        <f>1677.1/1000</f>
        <v>1.6770999999999998</v>
      </c>
      <c r="N27" s="15">
        <f>2512.38/1000</f>
        <v>2.5123800000000003</v>
      </c>
      <c r="O27" s="10">
        <f>2811.48/1000</f>
        <v>2.81148</v>
      </c>
      <c r="P27" s="15">
        <f>6511.15/1000</f>
        <v>6.5111499999999998</v>
      </c>
      <c r="Q27" s="10">
        <f>1992.85/1000</f>
        <v>1.99285</v>
      </c>
      <c r="R27" s="15">
        <f>3891.45/1000</f>
        <v>3.8914499999999999</v>
      </c>
      <c r="S27" s="10">
        <f>2267.38/1000</f>
        <v>2.2673800000000002</v>
      </c>
      <c r="T27" s="3">
        <f>2405/1000</f>
        <v>2.4049999999999998</v>
      </c>
      <c r="U27" s="3">
        <f>4297.27/1000</f>
        <v>4.2972700000000001</v>
      </c>
      <c r="V27" s="15">
        <f>4934.25/1000</f>
        <v>4.9342499999999996</v>
      </c>
      <c r="W27" s="10"/>
      <c r="X27" s="15"/>
      <c r="Z27" s="32"/>
    </row>
    <row r="28" spans="2:26" s="2" customFormat="1" ht="33" customHeight="1" x14ac:dyDescent="0.25">
      <c r="B28" s="22" t="s">
        <v>2</v>
      </c>
      <c r="C28" s="7" t="s">
        <v>36</v>
      </c>
      <c r="D28" s="28" t="s">
        <v>13</v>
      </c>
      <c r="E28" s="24">
        <f t="shared" ref="E28" si="2">E29+E30+E31</f>
        <v>16.362109999999998</v>
      </c>
      <c r="F28" s="25">
        <f t="shared" ref="F28" si="3">F29+F30+F31</f>
        <v>18.652519999999999</v>
      </c>
      <c r="G28" s="24">
        <f t="shared" ref="G28" si="4">G29+G30+G31</f>
        <v>17.091139999999999</v>
      </c>
      <c r="H28" s="25">
        <f t="shared" ref="H28" si="5">H29+H30+H31</f>
        <v>19.479899999999997</v>
      </c>
      <c r="I28" s="24">
        <f t="shared" ref="I28" si="6">I29+I30+I31</f>
        <v>16.044539999999998</v>
      </c>
      <c r="J28" s="25">
        <f t="shared" ref="J28" si="7">J29+J30+J31</f>
        <v>18.263069999999999</v>
      </c>
      <c r="K28" s="35">
        <f t="shared" ref="K28" si="8">K29+K30+K31</f>
        <v>4.8281200000000002</v>
      </c>
      <c r="L28" s="23">
        <f t="shared" ref="L28" si="9">L29+L30+L31</f>
        <v>5.4807799999999993</v>
      </c>
      <c r="M28" s="35">
        <f t="shared" ref="M28" si="10">M29+M30+M31</f>
        <v>5.4112799999999996</v>
      </c>
      <c r="N28" s="25">
        <f t="shared" ref="N28" si="11">N29+N30+N31</f>
        <v>6.2465600000000006</v>
      </c>
      <c r="O28" s="24">
        <f t="shared" ref="O28" si="12">O29+O30+O31</f>
        <v>14.95087</v>
      </c>
      <c r="P28" s="25">
        <f t="shared" ref="P28" si="13">P29+P30+P31</f>
        <v>18.808759999999999</v>
      </c>
      <c r="Q28" s="24">
        <f t="shared" ref="Q28" si="14">Q29+Q30+Q31</f>
        <v>20.769660000000002</v>
      </c>
      <c r="R28" s="25">
        <f t="shared" ref="R28" si="15">R29+R30+R31</f>
        <v>23.621929999999999</v>
      </c>
      <c r="S28" s="24">
        <f t="shared" ref="S28" si="16">S29+S30+S31</f>
        <v>17.29749</v>
      </c>
      <c r="T28" s="23">
        <f t="shared" ref="T28" si="17">T29+T30+T31</f>
        <v>17.435109999999998</v>
      </c>
      <c r="U28" s="23">
        <f t="shared" ref="U28" si="18">U29+U30+U31</f>
        <v>20.383930000000003</v>
      </c>
      <c r="V28" s="25">
        <f t="shared" ref="V28" si="19">V29+V30+V31</f>
        <v>21.020910000000001</v>
      </c>
      <c r="W28" s="24">
        <f t="shared" ref="W28" si="20">W29+W30+W31</f>
        <v>54.801280000000006</v>
      </c>
      <c r="X28" s="25">
        <f t="shared" ref="X28" si="21">X29+X30+X31</f>
        <v>54.892829999999996</v>
      </c>
    </row>
    <row r="29" spans="2:26" ht="33" customHeight="1" x14ac:dyDescent="0.25">
      <c r="B29" s="9" t="s">
        <v>16</v>
      </c>
      <c r="C29" s="3" t="s">
        <v>31</v>
      </c>
      <c r="D29" s="27" t="s">
        <v>13</v>
      </c>
      <c r="E29" s="10">
        <f>E20</f>
        <v>12.71284</v>
      </c>
      <c r="F29" s="15">
        <f t="shared" ref="F29:X29" si="22">F20</f>
        <v>13.686299999999999</v>
      </c>
      <c r="G29" s="10">
        <f t="shared" si="22"/>
        <v>14.30349</v>
      </c>
      <c r="H29" s="15">
        <f t="shared" si="22"/>
        <v>16.124649999999999</v>
      </c>
      <c r="I29" s="10">
        <f t="shared" si="22"/>
        <v>14.21007</v>
      </c>
      <c r="J29" s="15">
        <f t="shared" si="22"/>
        <v>15.82484</v>
      </c>
      <c r="K29" s="36">
        <f>L29</f>
        <v>3.2674499999999997</v>
      </c>
      <c r="L29" s="3">
        <f t="shared" si="22"/>
        <v>3.2674499999999997</v>
      </c>
      <c r="M29" s="36">
        <f>N29</f>
        <v>3.5485000000000002</v>
      </c>
      <c r="N29" s="15">
        <f t="shared" si="22"/>
        <v>3.5485000000000002</v>
      </c>
      <c r="O29" s="10">
        <f t="shared" si="22"/>
        <v>11.965870000000001</v>
      </c>
      <c r="P29" s="15">
        <f t="shared" si="22"/>
        <v>12.111930000000001</v>
      </c>
      <c r="Q29" s="10">
        <f>Q20</f>
        <v>18.342610000000001</v>
      </c>
      <c r="R29" s="15">
        <f>R20</f>
        <v>19.26708</v>
      </c>
      <c r="S29" s="10">
        <f t="shared" si="22"/>
        <v>14.852829999999999</v>
      </c>
      <c r="T29" s="3">
        <f t="shared" si="22"/>
        <v>14.852829999999999</v>
      </c>
      <c r="U29" s="3">
        <f t="shared" si="22"/>
        <v>15.897500000000001</v>
      </c>
      <c r="V29" s="15">
        <f t="shared" si="22"/>
        <v>15.897500000000001</v>
      </c>
      <c r="W29" s="10">
        <f t="shared" si="22"/>
        <v>54.460550000000005</v>
      </c>
      <c r="X29" s="15">
        <f t="shared" si="22"/>
        <v>54.552099999999996</v>
      </c>
    </row>
    <row r="30" spans="2:26" ht="33" customHeight="1" x14ac:dyDescent="0.25">
      <c r="B30" s="9" t="s">
        <v>17</v>
      </c>
      <c r="C30" s="3" t="s">
        <v>34</v>
      </c>
      <c r="D30" s="27" t="s">
        <v>13</v>
      </c>
      <c r="E30" s="10">
        <v>0.18038999999999999</v>
      </c>
      <c r="F30" s="15">
        <v>0.19173999999999999</v>
      </c>
      <c r="G30" s="10">
        <v>0.28608</v>
      </c>
      <c r="H30" s="15">
        <v>0.32612999999999998</v>
      </c>
      <c r="I30" s="10">
        <v>0.22781999999999999</v>
      </c>
      <c r="J30" s="15">
        <v>0.24215999999999999</v>
      </c>
      <c r="K30" s="36">
        <v>0.17352000000000001</v>
      </c>
      <c r="L30" s="3">
        <v>0.17352000000000001</v>
      </c>
      <c r="M30" s="36">
        <v>0.18568000000000001</v>
      </c>
      <c r="N30" s="15">
        <v>0.18568000000000001</v>
      </c>
      <c r="O30" s="10">
        <v>0.17352000000000001</v>
      </c>
      <c r="P30" s="15">
        <v>0.18568000000000001</v>
      </c>
      <c r="Q30" s="10">
        <v>0.43419999999999997</v>
      </c>
      <c r="R30" s="15">
        <v>0.46339999999999998</v>
      </c>
      <c r="S30" s="10">
        <v>0.17727999999999999</v>
      </c>
      <c r="T30" s="3">
        <f>S30</f>
        <v>0.17727999999999999</v>
      </c>
      <c r="U30" s="3">
        <v>0.18915999999999999</v>
      </c>
      <c r="V30" s="15">
        <f>U30</f>
        <v>0.18915999999999999</v>
      </c>
      <c r="W30" s="10">
        <v>0.34072999999999998</v>
      </c>
      <c r="X30" s="15">
        <v>0.34072999999999998</v>
      </c>
      <c r="Z30" s="32"/>
    </row>
    <row r="31" spans="2:26" ht="33" customHeight="1" x14ac:dyDescent="0.25">
      <c r="B31" s="9" t="s">
        <v>18</v>
      </c>
      <c r="C31" s="3" t="s">
        <v>35</v>
      </c>
      <c r="D31" s="27" t="s">
        <v>13</v>
      </c>
      <c r="E31" s="10">
        <f>3468.88/1000</f>
        <v>3.46888</v>
      </c>
      <c r="F31" s="15">
        <f>4774.48/1000</f>
        <v>4.7744799999999996</v>
      </c>
      <c r="G31" s="10">
        <f>2501.57/1000</f>
        <v>2.5015700000000001</v>
      </c>
      <c r="H31" s="15">
        <f>3029.12/1000</f>
        <v>3.0291199999999998</v>
      </c>
      <c r="I31" s="10">
        <f>1606.65/1000</f>
        <v>1.6066500000000001</v>
      </c>
      <c r="J31" s="15">
        <f>2196.07/1000</f>
        <v>2.1960700000000002</v>
      </c>
      <c r="K31" s="36">
        <f>1387.15/1000</f>
        <v>1.3871500000000001</v>
      </c>
      <c r="L31" s="3">
        <f>2039.81/1000</f>
        <v>2.0398100000000001</v>
      </c>
      <c r="M31" s="36">
        <f>1677.1/1000</f>
        <v>1.6770999999999998</v>
      </c>
      <c r="N31" s="15">
        <f>2512.38/1000</f>
        <v>2.5123800000000003</v>
      </c>
      <c r="O31" s="10">
        <f>2811.48/1000</f>
        <v>2.81148</v>
      </c>
      <c r="P31" s="15">
        <f>6511.15/1000</f>
        <v>6.5111499999999998</v>
      </c>
      <c r="Q31" s="10">
        <f>1992.85/1000</f>
        <v>1.99285</v>
      </c>
      <c r="R31" s="15">
        <f>3891.45/1000</f>
        <v>3.8914499999999999</v>
      </c>
      <c r="S31" s="10">
        <f>2267.38/1000</f>
        <v>2.2673800000000002</v>
      </c>
      <c r="T31" s="3">
        <f>2405/1000</f>
        <v>2.4049999999999998</v>
      </c>
      <c r="U31" s="3">
        <f>4297.27/1000</f>
        <v>4.2972700000000001</v>
      </c>
      <c r="V31" s="15">
        <f>4934.25/1000</f>
        <v>4.9342499999999996</v>
      </c>
      <c r="W31" s="10"/>
      <c r="X31" s="15"/>
      <c r="Z31" s="32"/>
    </row>
    <row r="32" spans="2:26" s="2" customFormat="1" ht="33" customHeight="1" x14ac:dyDescent="0.25">
      <c r="B32" s="22" t="s">
        <v>3</v>
      </c>
      <c r="C32" s="7" t="s">
        <v>36</v>
      </c>
      <c r="D32" s="28" t="s">
        <v>13</v>
      </c>
      <c r="E32" s="24">
        <f t="shared" ref="E32" si="23">E33+E34+E35</f>
        <v>21.640689999999996</v>
      </c>
      <c r="F32" s="25">
        <f t="shared" ref="F32" si="24">F33+F34+F35</f>
        <v>24.668220000000002</v>
      </c>
      <c r="G32" s="24">
        <f t="shared" ref="G32" si="25">G33+G34+G35</f>
        <v>24.191339999999997</v>
      </c>
      <c r="H32" s="25">
        <f t="shared" ref="H32" si="26">H33+H34+H35</f>
        <v>27.573319999999999</v>
      </c>
      <c r="I32" s="24">
        <f t="shared" ref="I32" si="27">I33+I34+I35</f>
        <v>22.451610000000002</v>
      </c>
      <c r="J32" s="25">
        <f t="shared" ref="J32" si="28">J33+J34+J35</f>
        <v>25.556539999999998</v>
      </c>
      <c r="K32" s="35">
        <f t="shared" ref="K32" si="29">K33+K34+K35</f>
        <v>6.18668</v>
      </c>
      <c r="L32" s="23">
        <f t="shared" ref="L32" si="30">L33+L34+L35</f>
        <v>6.83934</v>
      </c>
      <c r="M32" s="35">
        <f t="shared" ref="M32" si="31">M33+M34+M35</f>
        <v>6.9595199999999995</v>
      </c>
      <c r="N32" s="25">
        <f t="shared" ref="N32" si="32">N33+N34+N35</f>
        <v>7.7947999999999995</v>
      </c>
      <c r="O32" s="24">
        <f t="shared" ref="O32" si="33">O33+O34+O35</f>
        <v>22.61345</v>
      </c>
      <c r="P32" s="25">
        <f t="shared" ref="P32" si="34">P33+P34+P35</f>
        <v>25.777070000000002</v>
      </c>
      <c r="Q32" s="24">
        <f t="shared" ref="Q32" si="35">Q33+Q34+Q35</f>
        <v>30.109469999999998</v>
      </c>
      <c r="R32" s="25">
        <f t="shared" ref="R32" si="36">R33+R34+R35</f>
        <v>34.244399999999999</v>
      </c>
      <c r="S32" s="24">
        <f t="shared" ref="S32" si="37">S33+S34+S35</f>
        <v>24.067679999999999</v>
      </c>
      <c r="T32" s="23">
        <f t="shared" ref="T32" si="38">T33+T34+T35</f>
        <v>24.205300000000001</v>
      </c>
      <c r="U32" s="23">
        <f t="shared" ref="U32" si="39">U33+U34+U35</f>
        <v>26.954640000000001</v>
      </c>
      <c r="V32" s="25">
        <f t="shared" ref="V32" si="40">V33+V34+V35</f>
        <v>27.591619999999999</v>
      </c>
      <c r="W32" s="24">
        <f t="shared" ref="W32" si="41">W33+W34+W35</f>
        <v>94.240830000000003</v>
      </c>
      <c r="X32" s="25">
        <f t="shared" ref="X32" si="42">X33+X34+X35</f>
        <v>94.428629999999984</v>
      </c>
    </row>
    <row r="33" spans="2:26" ht="33" customHeight="1" x14ac:dyDescent="0.25">
      <c r="B33" s="9" t="s">
        <v>16</v>
      </c>
      <c r="C33" s="3" t="s">
        <v>31</v>
      </c>
      <c r="D33" s="27" t="s">
        <v>13</v>
      </c>
      <c r="E33" s="10">
        <f>17991.42/1000</f>
        <v>17.991419999999998</v>
      </c>
      <c r="F33" s="15">
        <f>19702/1000</f>
        <v>19.702000000000002</v>
      </c>
      <c r="G33" s="10">
        <f>21403.69/1000</f>
        <v>21.403689999999997</v>
      </c>
      <c r="H33" s="15">
        <f>24218.07/1000</f>
        <v>24.218070000000001</v>
      </c>
      <c r="I33" s="10">
        <f>20617.14/1000</f>
        <v>20.617139999999999</v>
      </c>
      <c r="J33" s="15">
        <f>23118.31/1000</f>
        <v>23.118310000000001</v>
      </c>
      <c r="K33" s="36">
        <f>4626.01/1000</f>
        <v>4.62601</v>
      </c>
      <c r="L33" s="3">
        <f>K33</f>
        <v>4.62601</v>
      </c>
      <c r="M33" s="36">
        <f>5096.74/1000</f>
        <v>5.0967399999999996</v>
      </c>
      <c r="N33" s="15">
        <f>M33</f>
        <v>5.0967399999999996</v>
      </c>
      <c r="O33" s="10">
        <f>19628.45/1000</f>
        <v>19.628450000000001</v>
      </c>
      <c r="P33" s="15">
        <f>19080.24/1000</f>
        <v>19.08024</v>
      </c>
      <c r="Q33" s="10">
        <f>27682.42/1000</f>
        <v>27.682419999999997</v>
      </c>
      <c r="R33" s="15">
        <f>29889.55/1000</f>
        <v>29.88955</v>
      </c>
      <c r="S33" s="10">
        <f>21623.02/1000</f>
        <v>21.62302</v>
      </c>
      <c r="T33" s="3">
        <f>S33</f>
        <v>21.62302</v>
      </c>
      <c r="U33" s="3">
        <f>22468.21/1000</f>
        <v>22.468209999999999</v>
      </c>
      <c r="V33" s="15">
        <f>22468.21/1000</f>
        <v>22.468209999999999</v>
      </c>
      <c r="W33" s="10">
        <f>93900.1/1000</f>
        <v>93.900100000000009</v>
      </c>
      <c r="X33" s="15">
        <f>94087.9/1000</f>
        <v>94.087899999999991</v>
      </c>
    </row>
    <row r="34" spans="2:26" ht="33" customHeight="1" x14ac:dyDescent="0.25">
      <c r="B34" s="9" t="s">
        <v>17</v>
      </c>
      <c r="C34" s="3" t="s">
        <v>34</v>
      </c>
      <c r="D34" s="27" t="s">
        <v>13</v>
      </c>
      <c r="E34" s="10">
        <v>0.18038999999999999</v>
      </c>
      <c r="F34" s="15">
        <v>0.19173999999999999</v>
      </c>
      <c r="G34" s="10">
        <v>0.28608</v>
      </c>
      <c r="H34" s="15">
        <v>0.32612999999999998</v>
      </c>
      <c r="I34" s="10">
        <v>0.22781999999999999</v>
      </c>
      <c r="J34" s="15">
        <v>0.24215999999999999</v>
      </c>
      <c r="K34" s="36">
        <v>0.17352000000000001</v>
      </c>
      <c r="L34" s="3">
        <v>0.17352000000000001</v>
      </c>
      <c r="M34" s="36">
        <v>0.18568000000000001</v>
      </c>
      <c r="N34" s="15">
        <v>0.18568000000000001</v>
      </c>
      <c r="O34" s="10">
        <v>0.17352000000000001</v>
      </c>
      <c r="P34" s="15">
        <v>0.18568000000000001</v>
      </c>
      <c r="Q34" s="10">
        <v>0.43419999999999997</v>
      </c>
      <c r="R34" s="15">
        <v>0.46339999999999998</v>
      </c>
      <c r="S34" s="10">
        <v>0.17727999999999999</v>
      </c>
      <c r="T34" s="3">
        <f>S34</f>
        <v>0.17727999999999999</v>
      </c>
      <c r="U34" s="3">
        <v>0.18915999999999999</v>
      </c>
      <c r="V34" s="15">
        <f>U34</f>
        <v>0.18915999999999999</v>
      </c>
      <c r="W34" s="10">
        <v>0.34072999999999998</v>
      </c>
      <c r="X34" s="15">
        <v>0.34072999999999998</v>
      </c>
      <c r="Z34" s="32"/>
    </row>
    <row r="35" spans="2:26" ht="33" customHeight="1" x14ac:dyDescent="0.25">
      <c r="B35" s="9" t="s">
        <v>18</v>
      </c>
      <c r="C35" s="3" t="s">
        <v>35</v>
      </c>
      <c r="D35" s="27" t="s">
        <v>13</v>
      </c>
      <c r="E35" s="10">
        <f>3468.88/1000</f>
        <v>3.46888</v>
      </c>
      <c r="F35" s="15">
        <f>4774.48/1000</f>
        <v>4.7744799999999996</v>
      </c>
      <c r="G35" s="10">
        <f>2501.57/1000</f>
        <v>2.5015700000000001</v>
      </c>
      <c r="H35" s="15">
        <f>3029.12/1000</f>
        <v>3.0291199999999998</v>
      </c>
      <c r="I35" s="10">
        <f>1606.65/1000</f>
        <v>1.6066500000000001</v>
      </c>
      <c r="J35" s="15">
        <f>2196.07/1000</f>
        <v>2.1960700000000002</v>
      </c>
      <c r="K35" s="36">
        <f>1387.15/1000</f>
        <v>1.3871500000000001</v>
      </c>
      <c r="L35" s="3">
        <f>2039.81/1000</f>
        <v>2.0398100000000001</v>
      </c>
      <c r="M35" s="36">
        <f>1677.1/1000</f>
        <v>1.6770999999999998</v>
      </c>
      <c r="N35" s="15">
        <f>2512.38/1000</f>
        <v>2.5123800000000003</v>
      </c>
      <c r="O35" s="10">
        <f>2811.48/1000</f>
        <v>2.81148</v>
      </c>
      <c r="P35" s="15">
        <f>6511.15/1000</f>
        <v>6.5111499999999998</v>
      </c>
      <c r="Q35" s="10">
        <f>1992.85/1000</f>
        <v>1.99285</v>
      </c>
      <c r="R35" s="15">
        <f>3891.45/1000</f>
        <v>3.8914499999999999</v>
      </c>
      <c r="S35" s="10">
        <f>2267.38/1000</f>
        <v>2.2673800000000002</v>
      </c>
      <c r="T35" s="3">
        <f>2405/1000</f>
        <v>2.4049999999999998</v>
      </c>
      <c r="U35" s="3">
        <f>4297.27/1000</f>
        <v>4.2972700000000001</v>
      </c>
      <c r="V35" s="15">
        <f>4934.25/1000</f>
        <v>4.9342499999999996</v>
      </c>
      <c r="W35" s="10"/>
      <c r="X35" s="15"/>
      <c r="Z35" s="32"/>
    </row>
    <row r="36" spans="2:26" s="2" customFormat="1" ht="33" customHeight="1" x14ac:dyDescent="0.2">
      <c r="B36" s="67" t="s">
        <v>25</v>
      </c>
      <c r="C36" s="68"/>
      <c r="D36" s="69"/>
      <c r="E36" s="24"/>
      <c r="F36" s="25"/>
      <c r="G36" s="24"/>
      <c r="H36" s="25"/>
      <c r="I36" s="24"/>
      <c r="J36" s="25"/>
      <c r="K36" s="35"/>
      <c r="L36" s="23"/>
      <c r="M36" s="35"/>
      <c r="N36" s="25"/>
      <c r="O36" s="24"/>
      <c r="P36" s="25"/>
      <c r="Q36" s="24"/>
      <c r="R36" s="25"/>
      <c r="S36" s="24"/>
      <c r="T36" s="23"/>
      <c r="U36" s="23"/>
      <c r="V36" s="25"/>
      <c r="W36" s="24"/>
      <c r="X36" s="25"/>
    </row>
    <row r="37" spans="2:26" s="2" customFormat="1" ht="33" customHeight="1" x14ac:dyDescent="0.25">
      <c r="B37" s="22" t="s">
        <v>1</v>
      </c>
      <c r="C37" s="7" t="s">
        <v>36</v>
      </c>
      <c r="D37" s="28" t="s">
        <v>13</v>
      </c>
      <c r="E37" s="24">
        <f t="shared" ref="E37" si="43">E38+E39+E40</f>
        <v>10.165520000000001</v>
      </c>
      <c r="F37" s="25">
        <f t="shared" ref="F37" si="44">F38+F39+F40</f>
        <v>13.504000000000001</v>
      </c>
      <c r="G37" s="24">
        <f t="shared" ref="G37" si="45">G38+G39+G40</f>
        <v>8.7541100000000007</v>
      </c>
      <c r="H37" s="25">
        <f t="shared" ref="H37" si="46">H38+H39+H40</f>
        <v>12.865819999999999</v>
      </c>
      <c r="I37" s="24">
        <f t="shared" ref="I37" si="47">I38+I39+I40</f>
        <v>8.5299200000000006</v>
      </c>
      <c r="J37" s="25">
        <f t="shared" ref="J37" si="48">J38+J39+J40</f>
        <v>11.15462</v>
      </c>
      <c r="K37" s="35">
        <f t="shared" ref="K37" si="49">K38+K39+K40</f>
        <v>3.3501100000000004</v>
      </c>
      <c r="L37" s="23">
        <f t="shared" ref="L37" si="50">L38+L39+L40</f>
        <v>4.0027699999999999</v>
      </c>
      <c r="M37" s="35">
        <f t="shared" ref="M37" si="51">M38+M39+M40</f>
        <v>3.5186399999999995</v>
      </c>
      <c r="N37" s="25">
        <f t="shared" ref="N37" si="52">N38+N39+N40</f>
        <v>4.3539200000000005</v>
      </c>
      <c r="O37" s="24">
        <f t="shared" ref="O37" si="53">O38+O39+O40</f>
        <v>9.3313600000000001</v>
      </c>
      <c r="P37" s="25">
        <f t="shared" ref="P37" si="54">P38+P39+P40</f>
        <v>15.928789999999999</v>
      </c>
      <c r="Q37" s="24">
        <f t="shared" ref="Q37" si="55">Q38+Q39+Q40</f>
        <v>9.8055400000000006</v>
      </c>
      <c r="R37" s="25">
        <f t="shared" ref="R37" si="56">R38+R39+R40</f>
        <v>14.36318</v>
      </c>
      <c r="S37" s="24">
        <f t="shared" ref="S37" si="57">S38+S39+S40</f>
        <v>9.3508999999999993</v>
      </c>
      <c r="T37" s="23">
        <f t="shared" ref="T37" si="58">T38+T39+T40</f>
        <v>9.4885199999999994</v>
      </c>
      <c r="U37" s="23">
        <f t="shared" ref="U37" si="59">U38+U39+U40</f>
        <v>14.033470000000001</v>
      </c>
      <c r="V37" s="25">
        <f t="shared" ref="V37" si="60">V38+V39+V40</f>
        <v>14.670449999999999</v>
      </c>
      <c r="W37" s="24">
        <f t="shared" ref="W37" si="61">W38+W39+W40</f>
        <v>8.5026799999999998</v>
      </c>
      <c r="X37" s="25">
        <f t="shared" ref="X37" si="62">X38+X39+X40</f>
        <v>10.99971</v>
      </c>
    </row>
    <row r="38" spans="2:26" ht="33" customHeight="1" x14ac:dyDescent="0.25">
      <c r="B38" s="9" t="s">
        <v>16</v>
      </c>
      <c r="C38" s="3" t="s">
        <v>31</v>
      </c>
      <c r="D38" s="27" t="s">
        <v>13</v>
      </c>
      <c r="E38" s="10">
        <f>E25</f>
        <v>6.5162500000000003</v>
      </c>
      <c r="F38" s="15">
        <f t="shared" ref="F38:X38" si="63">F25</f>
        <v>8.5377800000000015</v>
      </c>
      <c r="G38" s="10">
        <f t="shared" si="63"/>
        <v>5.9664599999999997</v>
      </c>
      <c r="H38" s="15">
        <f t="shared" si="63"/>
        <v>9.5105699999999995</v>
      </c>
      <c r="I38" s="10">
        <f t="shared" si="63"/>
        <v>6.6954500000000001</v>
      </c>
      <c r="J38" s="15">
        <f t="shared" si="63"/>
        <v>8.7163899999999988</v>
      </c>
      <c r="K38" s="36">
        <f t="shared" si="63"/>
        <v>1.7894400000000001</v>
      </c>
      <c r="L38" s="3">
        <f t="shared" si="63"/>
        <v>1.7894400000000001</v>
      </c>
      <c r="M38" s="36">
        <f t="shared" si="63"/>
        <v>1.6558599999999999</v>
      </c>
      <c r="N38" s="15">
        <f t="shared" si="63"/>
        <v>1.6558599999999999</v>
      </c>
      <c r="O38" s="10">
        <f t="shared" si="63"/>
        <v>6.3463599999999998</v>
      </c>
      <c r="P38" s="15">
        <f t="shared" si="63"/>
        <v>9.2319599999999991</v>
      </c>
      <c r="Q38" s="10">
        <f>7378.49/1000</f>
        <v>7.3784900000000002</v>
      </c>
      <c r="R38" s="15">
        <f>10008.33/1000</f>
        <v>10.008329999999999</v>
      </c>
      <c r="S38" s="10">
        <f t="shared" si="63"/>
        <v>6.9062399999999995</v>
      </c>
      <c r="T38" s="3">
        <f t="shared" si="63"/>
        <v>6.9062399999999995</v>
      </c>
      <c r="U38" s="3">
        <f t="shared" si="63"/>
        <v>9.5470400000000009</v>
      </c>
      <c r="V38" s="15">
        <f t="shared" si="63"/>
        <v>9.5470400000000009</v>
      </c>
      <c r="W38" s="10">
        <f t="shared" si="63"/>
        <v>8.1619499999999992</v>
      </c>
      <c r="X38" s="15">
        <f t="shared" si="63"/>
        <v>10.65898</v>
      </c>
    </row>
    <row r="39" spans="2:26" ht="33" customHeight="1" x14ac:dyDescent="0.25">
      <c r="B39" s="9" t="s">
        <v>17</v>
      </c>
      <c r="C39" s="3" t="s">
        <v>34</v>
      </c>
      <c r="D39" s="27" t="s">
        <v>13</v>
      </c>
      <c r="E39" s="10">
        <v>0.18038999999999999</v>
      </c>
      <c r="F39" s="15">
        <v>0.19173999999999999</v>
      </c>
      <c r="G39" s="10">
        <v>0.28608</v>
      </c>
      <c r="H39" s="15">
        <v>0.32612999999999998</v>
      </c>
      <c r="I39" s="10">
        <v>0.22781999999999999</v>
      </c>
      <c r="J39" s="15">
        <v>0.24215999999999999</v>
      </c>
      <c r="K39" s="36">
        <v>0.17352000000000001</v>
      </c>
      <c r="L39" s="3">
        <v>0.17352000000000001</v>
      </c>
      <c r="M39" s="36">
        <v>0.18568000000000001</v>
      </c>
      <c r="N39" s="15">
        <v>0.18568000000000001</v>
      </c>
      <c r="O39" s="10">
        <v>0.17352000000000001</v>
      </c>
      <c r="P39" s="15">
        <v>0.18568000000000001</v>
      </c>
      <c r="Q39" s="10">
        <v>0.43419999999999997</v>
      </c>
      <c r="R39" s="15">
        <v>0.46339999999999998</v>
      </c>
      <c r="S39" s="10">
        <v>0.17727999999999999</v>
      </c>
      <c r="T39" s="3">
        <f>S39</f>
        <v>0.17727999999999999</v>
      </c>
      <c r="U39" s="3">
        <v>0.18915999999999999</v>
      </c>
      <c r="V39" s="15">
        <f>U39</f>
        <v>0.18915999999999999</v>
      </c>
      <c r="W39" s="10">
        <v>0.34072999999999998</v>
      </c>
      <c r="X39" s="15">
        <v>0.34072999999999998</v>
      </c>
      <c r="Z39" s="32"/>
    </row>
    <row r="40" spans="2:26" ht="33" customHeight="1" x14ac:dyDescent="0.25">
      <c r="B40" s="9" t="s">
        <v>18</v>
      </c>
      <c r="C40" s="3" t="s">
        <v>35</v>
      </c>
      <c r="D40" s="27" t="s">
        <v>13</v>
      </c>
      <c r="E40" s="10">
        <f>3468.88/1000</f>
        <v>3.46888</v>
      </c>
      <c r="F40" s="15">
        <f>4774.48/1000</f>
        <v>4.7744799999999996</v>
      </c>
      <c r="G40" s="10">
        <f>2501.57/1000</f>
        <v>2.5015700000000001</v>
      </c>
      <c r="H40" s="15">
        <f>3029.12/1000</f>
        <v>3.0291199999999998</v>
      </c>
      <c r="I40" s="10">
        <f>1606.65/1000</f>
        <v>1.6066500000000001</v>
      </c>
      <c r="J40" s="15">
        <f>2196.07/1000</f>
        <v>2.1960700000000002</v>
      </c>
      <c r="K40" s="36">
        <f>1387.15/1000</f>
        <v>1.3871500000000001</v>
      </c>
      <c r="L40" s="3">
        <f>2039.81/1000</f>
        <v>2.0398100000000001</v>
      </c>
      <c r="M40" s="36">
        <f>1677.1/1000</f>
        <v>1.6770999999999998</v>
      </c>
      <c r="N40" s="15">
        <f>2512.38/1000</f>
        <v>2.5123800000000003</v>
      </c>
      <c r="O40" s="10">
        <f>2811.48/1000</f>
        <v>2.81148</v>
      </c>
      <c r="P40" s="15">
        <f>6511.15/1000</f>
        <v>6.5111499999999998</v>
      </c>
      <c r="Q40" s="10">
        <f>1992.85/1000</f>
        <v>1.99285</v>
      </c>
      <c r="R40" s="15">
        <f>3891.45/1000</f>
        <v>3.8914499999999999</v>
      </c>
      <c r="S40" s="10">
        <f>2267.38/1000</f>
        <v>2.2673800000000002</v>
      </c>
      <c r="T40" s="3">
        <f>2405/1000</f>
        <v>2.4049999999999998</v>
      </c>
      <c r="U40" s="3">
        <f>4297.27/1000</f>
        <v>4.2972700000000001</v>
      </c>
      <c r="V40" s="15">
        <f>4934.25/1000</f>
        <v>4.9342499999999996</v>
      </c>
      <c r="W40" s="10"/>
      <c r="X40" s="15"/>
      <c r="Z40" s="32"/>
    </row>
    <row r="41" spans="2:26" s="2" customFormat="1" ht="33" customHeight="1" x14ac:dyDescent="0.25">
      <c r="B41" s="22" t="s">
        <v>14</v>
      </c>
      <c r="C41" s="7" t="s">
        <v>36</v>
      </c>
      <c r="D41" s="28" t="s">
        <v>13</v>
      </c>
      <c r="E41" s="24">
        <f t="shared" ref="E41" si="64">E42+E43+E44</f>
        <v>18.213139999999999</v>
      </c>
      <c r="F41" s="25">
        <f t="shared" ref="F41" si="65">F42+F43+F44</f>
        <v>20.76116</v>
      </c>
      <c r="G41" s="24">
        <f t="shared" ref="G41" si="66">G42+G43+G44</f>
        <v>19.580940000000002</v>
      </c>
      <c r="H41" s="25">
        <f t="shared" ref="H41" si="67">H42+H43+H44</f>
        <v>22.317919999999997</v>
      </c>
      <c r="I41" s="24">
        <f t="shared" ref="I41" si="68">I42+I43+I44</f>
        <v>18.288470000000004</v>
      </c>
      <c r="J41" s="25">
        <f t="shared" ref="J41" si="69">J42+J43+J44</f>
        <v>20.816979999999997</v>
      </c>
      <c r="K41" s="35">
        <f t="shared" ref="K41" si="70">K42+K43+K44</f>
        <v>5.3035499999999995</v>
      </c>
      <c r="L41" s="23">
        <f t="shared" ref="L41" si="71">L42+L43+L44</f>
        <v>5.9562100000000004</v>
      </c>
      <c r="M41" s="35">
        <f t="shared" ref="M41" si="72">M42+M43+M44</f>
        <v>5.953009999999999</v>
      </c>
      <c r="N41" s="25">
        <f t="shared" ref="N41" si="73">N42+N43+N44</f>
        <v>6.7882899999999999</v>
      </c>
      <c r="O41" s="24">
        <f t="shared" ref="O41" si="74">O42+O43+O44</f>
        <v>16.6295</v>
      </c>
      <c r="P41" s="25">
        <f t="shared" ref="P41" si="75">P42+P43+P44</f>
        <v>18.955969999999997</v>
      </c>
      <c r="Q41" s="24">
        <f t="shared" ref="Q41" si="76">Q42+Q43+Q44</f>
        <v>24.044160000000002</v>
      </c>
      <c r="R41" s="25">
        <f t="shared" ref="R41" si="77">R42+R43+R44</f>
        <v>27.346139999999998</v>
      </c>
      <c r="S41" s="24">
        <f t="shared" ref="S41" si="78">S42+S43+S44</f>
        <v>19.670929999999998</v>
      </c>
      <c r="T41" s="23">
        <f t="shared" ref="T41" si="79">T42+T43+T44</f>
        <v>19.80855</v>
      </c>
      <c r="U41" s="23">
        <f t="shared" ref="U41" si="80">U42+U43+U44</f>
        <v>21.942790000000002</v>
      </c>
      <c r="V41" s="25">
        <f t="shared" ref="V41" si="81">V42+V43+V44</f>
        <v>22.57977</v>
      </c>
      <c r="W41" s="24">
        <f t="shared" ref="W41" si="82">W42+W43+W44</f>
        <v>68.671429999999987</v>
      </c>
      <c r="X41" s="25">
        <f t="shared" ref="X41" si="83">X42+X43+X44</f>
        <v>68.808769999999981</v>
      </c>
    </row>
    <row r="42" spans="2:26" ht="33" customHeight="1" x14ac:dyDescent="0.25">
      <c r="B42" s="9" t="s">
        <v>16</v>
      </c>
      <c r="C42" s="3" t="s">
        <v>31</v>
      </c>
      <c r="D42" s="27" t="s">
        <v>13</v>
      </c>
      <c r="E42" s="10">
        <f>14563.87/1000</f>
        <v>14.563870000000001</v>
      </c>
      <c r="F42" s="15">
        <f>15794.94/1000</f>
        <v>15.79494</v>
      </c>
      <c r="G42" s="10">
        <f>16793.29/1000</f>
        <v>16.793290000000002</v>
      </c>
      <c r="H42" s="15">
        <f>18962.67/1000</f>
        <v>18.962669999999999</v>
      </c>
      <c r="I42" s="10">
        <f>16454/1000</f>
        <v>16.454000000000001</v>
      </c>
      <c r="J42" s="15">
        <f>18378.75/1000</f>
        <v>18.37875</v>
      </c>
      <c r="K42" s="36">
        <f>3742.88/1000</f>
        <v>3.74288</v>
      </c>
      <c r="L42" s="3">
        <f>K42</f>
        <v>3.74288</v>
      </c>
      <c r="M42" s="36">
        <f>4090.23/1000</f>
        <v>4.09023</v>
      </c>
      <c r="N42" s="15">
        <f>M42</f>
        <v>4.09023</v>
      </c>
      <c r="O42" s="10">
        <f>13644.5/1000</f>
        <v>13.644500000000001</v>
      </c>
      <c r="P42" s="15">
        <f>12259.14/1000</f>
        <v>12.259139999999999</v>
      </c>
      <c r="Q42" s="10">
        <f>21617.11/1000</f>
        <v>21.61711</v>
      </c>
      <c r="R42" s="15">
        <f>22991.29/1000</f>
        <v>22.991289999999999</v>
      </c>
      <c r="S42" s="10">
        <f>17226.27/1000</f>
        <v>17.22627</v>
      </c>
      <c r="T42" s="3">
        <f>S42</f>
        <v>17.22627</v>
      </c>
      <c r="U42" s="3">
        <f>17456.36/1000</f>
        <v>17.45636</v>
      </c>
      <c r="V42" s="15">
        <f>U42</f>
        <v>17.45636</v>
      </c>
      <c r="W42" s="10">
        <f>68330.7/1000</f>
        <v>68.330699999999993</v>
      </c>
      <c r="X42" s="15">
        <f>68468.04/1000</f>
        <v>68.468039999999988</v>
      </c>
    </row>
    <row r="43" spans="2:26" ht="33" customHeight="1" x14ac:dyDescent="0.25">
      <c r="B43" s="9" t="s">
        <v>17</v>
      </c>
      <c r="C43" s="3" t="s">
        <v>34</v>
      </c>
      <c r="D43" s="27" t="s">
        <v>13</v>
      </c>
      <c r="E43" s="10">
        <v>0.18038999999999999</v>
      </c>
      <c r="F43" s="15">
        <v>0.19173999999999999</v>
      </c>
      <c r="G43" s="10">
        <v>0.28608</v>
      </c>
      <c r="H43" s="15">
        <v>0.32612999999999998</v>
      </c>
      <c r="I43" s="10">
        <v>0.22781999999999999</v>
      </c>
      <c r="J43" s="15">
        <v>0.24215999999999999</v>
      </c>
      <c r="K43" s="36">
        <v>0.17352000000000001</v>
      </c>
      <c r="L43" s="3">
        <v>0.17352000000000001</v>
      </c>
      <c r="M43" s="36">
        <v>0.18568000000000001</v>
      </c>
      <c r="N43" s="15">
        <v>0.18568000000000001</v>
      </c>
      <c r="O43" s="10">
        <v>0.17352000000000001</v>
      </c>
      <c r="P43" s="15">
        <v>0.18568000000000001</v>
      </c>
      <c r="Q43" s="10">
        <v>0.43419999999999997</v>
      </c>
      <c r="R43" s="15">
        <v>0.46339999999999998</v>
      </c>
      <c r="S43" s="10">
        <v>0.17727999999999999</v>
      </c>
      <c r="T43" s="3">
        <f>S43</f>
        <v>0.17727999999999999</v>
      </c>
      <c r="U43" s="3">
        <v>0.18915999999999999</v>
      </c>
      <c r="V43" s="15">
        <f>U43</f>
        <v>0.18915999999999999</v>
      </c>
      <c r="W43" s="10">
        <v>0.34072999999999998</v>
      </c>
      <c r="X43" s="15">
        <v>0.34072999999999998</v>
      </c>
      <c r="Z43" s="32"/>
    </row>
    <row r="44" spans="2:26" ht="33" customHeight="1" thickBot="1" x14ac:dyDescent="0.3">
      <c r="B44" s="11" t="s">
        <v>18</v>
      </c>
      <c r="C44" s="12" t="s">
        <v>35</v>
      </c>
      <c r="D44" s="29" t="s">
        <v>13</v>
      </c>
      <c r="E44" s="16">
        <v>3.46888</v>
      </c>
      <c r="F44" s="17">
        <v>4.7744799999999996</v>
      </c>
      <c r="G44" s="16">
        <v>2.5015700000000001</v>
      </c>
      <c r="H44" s="17">
        <v>3.0291199999999998</v>
      </c>
      <c r="I44" s="16">
        <v>1.6066500000000001</v>
      </c>
      <c r="J44" s="17">
        <v>2.1960700000000002</v>
      </c>
      <c r="K44" s="37">
        <v>1.3871500000000001</v>
      </c>
      <c r="L44" s="12">
        <v>2.0398100000000001</v>
      </c>
      <c r="M44" s="37">
        <v>1.6770999999999998</v>
      </c>
      <c r="N44" s="17">
        <v>2.5123800000000003</v>
      </c>
      <c r="O44" s="16">
        <v>2.81148</v>
      </c>
      <c r="P44" s="17">
        <v>6.5111499999999998</v>
      </c>
      <c r="Q44" s="16">
        <v>1.99285</v>
      </c>
      <c r="R44" s="17">
        <v>3.8914499999999999</v>
      </c>
      <c r="S44" s="19">
        <v>2.2673800000000002</v>
      </c>
      <c r="T44" s="20">
        <v>2.4049999999999998</v>
      </c>
      <c r="U44" s="20">
        <v>4.2972700000000001</v>
      </c>
      <c r="V44" s="21">
        <v>4.9342499999999996</v>
      </c>
      <c r="W44" s="16"/>
      <c r="X44" s="17"/>
    </row>
    <row r="46" spans="2:26" s="44" customFormat="1" ht="48.75" customHeight="1" x14ac:dyDescent="0.25">
      <c r="B46" s="45" t="s">
        <v>15</v>
      </c>
    </row>
    <row r="47" spans="2:26" s="46" customFormat="1" ht="59.25" customHeight="1" x14ac:dyDescent="0.25">
      <c r="B47" s="47" t="s">
        <v>63</v>
      </c>
      <c r="C47" s="74" t="s">
        <v>48</v>
      </c>
      <c r="D47" s="74"/>
      <c r="E47" s="74"/>
      <c r="F47" s="74"/>
      <c r="G47" s="74"/>
      <c r="H47" s="74"/>
      <c r="I47" s="74"/>
      <c r="J47" s="74"/>
      <c r="K47" s="74"/>
    </row>
    <row r="48" spans="2:26" s="46" customFormat="1" ht="59.25" customHeight="1" x14ac:dyDescent="0.25">
      <c r="B48" s="47" t="s">
        <v>49</v>
      </c>
      <c r="C48" s="74" t="s">
        <v>50</v>
      </c>
      <c r="D48" s="74"/>
      <c r="E48" s="74"/>
      <c r="F48" s="74"/>
      <c r="G48" s="74"/>
      <c r="H48" s="74"/>
      <c r="I48" s="74"/>
      <c r="J48" s="74"/>
      <c r="K48" s="74"/>
    </row>
    <row r="49" spans="2:11" s="46" customFormat="1" ht="59.25" customHeight="1" x14ac:dyDescent="0.25">
      <c r="B49" s="47" t="s">
        <v>51</v>
      </c>
      <c r="C49" s="74" t="s">
        <v>52</v>
      </c>
      <c r="D49" s="74"/>
      <c r="E49" s="74"/>
      <c r="F49" s="74"/>
      <c r="G49" s="74"/>
      <c r="H49" s="74"/>
      <c r="I49" s="74"/>
      <c r="J49" s="74"/>
      <c r="K49" s="74"/>
    </row>
    <row r="50" spans="2:11" s="46" customFormat="1" ht="59.25" customHeight="1" x14ac:dyDescent="0.25">
      <c r="B50" s="47" t="s">
        <v>53</v>
      </c>
      <c r="C50" s="74" t="s">
        <v>54</v>
      </c>
      <c r="D50" s="74"/>
      <c r="E50" s="74"/>
      <c r="F50" s="74"/>
      <c r="G50" s="74"/>
      <c r="H50" s="74"/>
      <c r="I50" s="74"/>
      <c r="J50" s="74"/>
      <c r="K50" s="74"/>
    </row>
    <row r="51" spans="2:11" s="46" customFormat="1" ht="59.25" customHeight="1" x14ac:dyDescent="0.25">
      <c r="B51" s="47" t="s">
        <v>64</v>
      </c>
      <c r="C51" s="74" t="s">
        <v>56</v>
      </c>
      <c r="D51" s="74"/>
      <c r="E51" s="74"/>
      <c r="F51" s="74"/>
      <c r="G51" s="74"/>
      <c r="H51" s="74"/>
      <c r="I51" s="74"/>
      <c r="J51" s="74"/>
      <c r="K51" s="74"/>
    </row>
    <row r="52" spans="2:11" s="46" customFormat="1" ht="59.25" customHeight="1" x14ac:dyDescent="0.25">
      <c r="B52" s="47" t="s">
        <v>57</v>
      </c>
      <c r="C52" s="74" t="s">
        <v>65</v>
      </c>
      <c r="D52" s="74"/>
      <c r="E52" s="74"/>
      <c r="F52" s="74"/>
      <c r="G52" s="74"/>
      <c r="H52" s="74"/>
      <c r="I52" s="74"/>
      <c r="J52" s="74"/>
      <c r="K52" s="74"/>
    </row>
  </sheetData>
  <mergeCells count="30">
    <mergeCell ref="B36:D36"/>
    <mergeCell ref="K17:L17"/>
    <mergeCell ref="M17:N17"/>
    <mergeCell ref="C51:K51"/>
    <mergeCell ref="C52:K52"/>
    <mergeCell ref="C47:K47"/>
    <mergeCell ref="C48:K48"/>
    <mergeCell ref="C49:K49"/>
    <mergeCell ref="C50:K50"/>
    <mergeCell ref="B7:D7"/>
    <mergeCell ref="K16:N16"/>
    <mergeCell ref="B10:D10"/>
    <mergeCell ref="B11:D11"/>
    <mergeCell ref="B23:D23"/>
    <mergeCell ref="B3:X3"/>
    <mergeCell ref="B4:X4"/>
    <mergeCell ref="S17:T17"/>
    <mergeCell ref="U17:V17"/>
    <mergeCell ref="S16:V16"/>
    <mergeCell ref="B9:D9"/>
    <mergeCell ref="Q16:R16"/>
    <mergeCell ref="W16:X16"/>
    <mergeCell ref="E16:F16"/>
    <mergeCell ref="B16:B18"/>
    <mergeCell ref="C16:C18"/>
    <mergeCell ref="D16:D18"/>
    <mergeCell ref="B6:O6"/>
    <mergeCell ref="G16:H16"/>
    <mergeCell ref="I16:J16"/>
    <mergeCell ref="O16:P16"/>
  </mergeCells>
  <hyperlinks>
    <hyperlink ref="B10:D10" r:id="rId1" display="Решение РЭК Тюменской области, ХМАО, ЯНАО от 27.11.2012 года № 400"/>
    <hyperlink ref="B11:D11" r:id="rId2" display="Решение РЭК Тюменской области, ХМАО, ЯНАО от 21.05.2013 года № 54"/>
    <hyperlink ref="B47" r:id="rId3"/>
    <hyperlink ref="B48" r:id="rId4"/>
    <hyperlink ref="B49" r:id="rId5"/>
    <hyperlink ref="B50" r:id="rId6"/>
    <hyperlink ref="B51" r:id="rId7"/>
    <hyperlink ref="B52" r:id="rId8"/>
  </hyperlinks>
  <pageMargins left="0" right="0" top="0.74803149606299213" bottom="0.74803149606299213" header="0.31496062992125984" footer="0.31496062992125984"/>
  <pageSetup paperSize="8" scale="5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Z68"/>
  <sheetViews>
    <sheetView zoomScale="85" zoomScaleNormal="85" workbookViewId="0">
      <selection activeCell="A10" sqref="A10:XFD11"/>
    </sheetView>
  </sheetViews>
  <sheetFormatPr defaultRowHeight="15" x14ac:dyDescent="0.25"/>
  <cols>
    <col min="1" max="1" width="7" style="1" customWidth="1"/>
    <col min="2" max="2" width="38.5703125" style="1" customWidth="1"/>
    <col min="3" max="3" width="23.42578125" style="1" customWidth="1"/>
    <col min="4" max="4" width="18.5703125" style="1" customWidth="1"/>
    <col min="5" max="24" width="16.140625" style="1" customWidth="1"/>
    <col min="25" max="25" width="9.140625" style="1"/>
    <col min="26" max="26" width="13.140625" style="1" bestFit="1" customWidth="1"/>
    <col min="27" max="16384" width="9.140625" style="1"/>
  </cols>
  <sheetData>
    <row r="3" spans="2:24" ht="19.5" customHeight="1" x14ac:dyDescent="0.25">
      <c r="B3" s="49" t="s">
        <v>22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2:24" ht="15.75" customHeight="1" x14ac:dyDescent="0.25">
      <c r="B4" s="49" t="s">
        <v>26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2:24" ht="15.7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ht="20.25" customHeight="1" x14ac:dyDescent="0.3">
      <c r="B6" s="61" t="s">
        <v>27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24" ht="20.25" customHeight="1" x14ac:dyDescent="0.3">
      <c r="B7" s="61" t="s">
        <v>39</v>
      </c>
      <c r="C7" s="61"/>
      <c r="D7" s="61"/>
      <c r="E7" s="26"/>
      <c r="F7" s="26"/>
      <c r="G7" s="26"/>
      <c r="H7" s="26"/>
      <c r="I7" s="26"/>
      <c r="J7" s="26"/>
      <c r="K7" s="26"/>
      <c r="L7" s="26"/>
      <c r="M7" s="26"/>
      <c r="O7" s="26"/>
    </row>
    <row r="9" spans="2:24" ht="37.5" customHeight="1" x14ac:dyDescent="0.25">
      <c r="B9" s="49" t="s">
        <v>19</v>
      </c>
      <c r="C9" s="49"/>
      <c r="D9" s="49"/>
    </row>
    <row r="10" spans="2:24" s="43" customFormat="1" ht="15.75" x14ac:dyDescent="0.25">
      <c r="B10" s="65" t="s">
        <v>37</v>
      </c>
      <c r="C10" s="65"/>
      <c r="D10" s="65"/>
    </row>
    <row r="11" spans="2:24" s="43" customFormat="1" ht="15.75" x14ac:dyDescent="0.25">
      <c r="B11" s="66" t="s">
        <v>38</v>
      </c>
      <c r="C11" s="66"/>
      <c r="D11" s="66"/>
    </row>
    <row r="12" spans="2:24" ht="15.75" x14ac:dyDescent="0.25">
      <c r="B12" s="30"/>
    </row>
    <row r="14" spans="2:24" ht="15.75" x14ac:dyDescent="0.25">
      <c r="B14" s="30" t="s">
        <v>20</v>
      </c>
    </row>
    <row r="15" spans="2:24" ht="15.75" thickBot="1" x14ac:dyDescent="0.3"/>
    <row r="16" spans="2:24" ht="30.75" customHeight="1" x14ac:dyDescent="0.25">
      <c r="B16" s="53" t="s">
        <v>0</v>
      </c>
      <c r="C16" s="54" t="s">
        <v>21</v>
      </c>
      <c r="D16" s="58" t="s">
        <v>6</v>
      </c>
      <c r="E16" s="53" t="s">
        <v>4</v>
      </c>
      <c r="F16" s="55"/>
      <c r="G16" s="53" t="s">
        <v>7</v>
      </c>
      <c r="H16" s="55"/>
      <c r="I16" s="53" t="s">
        <v>8</v>
      </c>
      <c r="J16" s="55"/>
      <c r="K16" s="62" t="s">
        <v>32</v>
      </c>
      <c r="L16" s="63"/>
      <c r="M16" s="63"/>
      <c r="N16" s="64"/>
      <c r="O16" s="53" t="s">
        <v>33</v>
      </c>
      <c r="P16" s="55"/>
      <c r="Q16" s="53" t="s">
        <v>9</v>
      </c>
      <c r="R16" s="55"/>
      <c r="S16" s="53" t="s">
        <v>11</v>
      </c>
      <c r="T16" s="54"/>
      <c r="U16" s="54"/>
      <c r="V16" s="55"/>
      <c r="W16" s="53" t="s">
        <v>12</v>
      </c>
      <c r="X16" s="55"/>
    </row>
    <row r="17" spans="2:26" ht="41.25" customHeight="1" x14ac:dyDescent="0.25">
      <c r="B17" s="50"/>
      <c r="C17" s="51"/>
      <c r="D17" s="59"/>
      <c r="E17" s="13" t="s">
        <v>29</v>
      </c>
      <c r="F17" s="18" t="s">
        <v>30</v>
      </c>
      <c r="G17" s="13" t="s">
        <v>29</v>
      </c>
      <c r="H17" s="18" t="s">
        <v>30</v>
      </c>
      <c r="I17" s="13" t="s">
        <v>29</v>
      </c>
      <c r="J17" s="18" t="s">
        <v>30</v>
      </c>
      <c r="K17" s="70" t="s">
        <v>29</v>
      </c>
      <c r="L17" s="71"/>
      <c r="M17" s="72" t="s">
        <v>30</v>
      </c>
      <c r="N17" s="73"/>
      <c r="O17" s="13" t="s">
        <v>29</v>
      </c>
      <c r="P17" s="18" t="s">
        <v>30</v>
      </c>
      <c r="Q17" s="13" t="s">
        <v>29</v>
      </c>
      <c r="R17" s="18" t="s">
        <v>30</v>
      </c>
      <c r="S17" s="50" t="s">
        <v>29</v>
      </c>
      <c r="T17" s="51"/>
      <c r="U17" s="51" t="str">
        <f>X17</f>
        <v>с 01.07.2013 по 31.12.2013</v>
      </c>
      <c r="V17" s="52"/>
      <c r="W17" s="13" t="s">
        <v>29</v>
      </c>
      <c r="X17" s="18" t="s">
        <v>30</v>
      </c>
    </row>
    <row r="18" spans="2:26" ht="21.75" customHeight="1" thickBot="1" x14ac:dyDescent="0.3">
      <c r="B18" s="56"/>
      <c r="C18" s="57"/>
      <c r="D18" s="60"/>
      <c r="E18" s="14" t="s">
        <v>5</v>
      </c>
      <c r="F18" s="8" t="s">
        <v>5</v>
      </c>
      <c r="G18" s="14" t="s">
        <v>5</v>
      </c>
      <c r="H18" s="8" t="s">
        <v>5</v>
      </c>
      <c r="I18" s="14" t="s">
        <v>5</v>
      </c>
      <c r="J18" s="8" t="s">
        <v>5</v>
      </c>
      <c r="K18" s="34" t="s">
        <v>10</v>
      </c>
      <c r="L18" s="38" t="s">
        <v>5</v>
      </c>
      <c r="M18" s="5" t="s">
        <v>10</v>
      </c>
      <c r="N18" s="8" t="s">
        <v>5</v>
      </c>
      <c r="O18" s="14" t="s">
        <v>5</v>
      </c>
      <c r="P18" s="8" t="s">
        <v>5</v>
      </c>
      <c r="Q18" s="14" t="s">
        <v>5</v>
      </c>
      <c r="R18" s="8" t="s">
        <v>5</v>
      </c>
      <c r="S18" s="14" t="s">
        <v>10</v>
      </c>
      <c r="T18" s="5" t="s">
        <v>5</v>
      </c>
      <c r="U18" s="5" t="s">
        <v>10</v>
      </c>
      <c r="V18" s="8" t="s">
        <v>5</v>
      </c>
      <c r="W18" s="14" t="s">
        <v>5</v>
      </c>
      <c r="X18" s="8" t="s">
        <v>5</v>
      </c>
    </row>
    <row r="19" spans="2:26" s="2" customFormat="1" ht="33" customHeight="1" x14ac:dyDescent="0.25">
      <c r="B19" s="22" t="s">
        <v>23</v>
      </c>
      <c r="C19" s="41" t="s">
        <v>40</v>
      </c>
      <c r="D19" s="28" t="s">
        <v>13</v>
      </c>
      <c r="E19" s="24">
        <f>E20+E21+E22</f>
        <v>16.362109999999998</v>
      </c>
      <c r="F19" s="25">
        <f t="shared" ref="F19:X19" si="0">F20+F21+F22</f>
        <v>18.652519999999999</v>
      </c>
      <c r="G19" s="24">
        <f t="shared" si="0"/>
        <v>17.091139999999999</v>
      </c>
      <c r="H19" s="25">
        <f t="shared" si="0"/>
        <v>19.479899999999997</v>
      </c>
      <c r="I19" s="24">
        <f t="shared" si="0"/>
        <v>16.044539999999998</v>
      </c>
      <c r="J19" s="25">
        <f t="shared" si="0"/>
        <v>18.263069999999999</v>
      </c>
      <c r="K19" s="35">
        <f t="shared" si="0"/>
        <v>4.8281200000000002</v>
      </c>
      <c r="L19" s="23">
        <f t="shared" si="0"/>
        <v>5.4807799999999993</v>
      </c>
      <c r="M19" s="35">
        <f t="shared" si="0"/>
        <v>5.4112799999999996</v>
      </c>
      <c r="N19" s="25">
        <f t="shared" si="0"/>
        <v>6.2465600000000006</v>
      </c>
      <c r="O19" s="24">
        <f t="shared" si="0"/>
        <v>14.95087</v>
      </c>
      <c r="P19" s="25">
        <f t="shared" si="0"/>
        <v>19.126799999999999</v>
      </c>
      <c r="Q19" s="24">
        <f t="shared" si="0"/>
        <v>20.769660000000002</v>
      </c>
      <c r="R19" s="25">
        <f t="shared" si="0"/>
        <v>23.621929999999999</v>
      </c>
      <c r="S19" s="24">
        <f t="shared" si="0"/>
        <v>17.29749</v>
      </c>
      <c r="T19" s="23">
        <f t="shared" si="0"/>
        <v>17.435109999999998</v>
      </c>
      <c r="U19" s="23">
        <f t="shared" si="0"/>
        <v>20.383930000000003</v>
      </c>
      <c r="V19" s="25">
        <f t="shared" si="0"/>
        <v>21.020910000000001</v>
      </c>
      <c r="W19" s="24">
        <f t="shared" si="0"/>
        <v>54.801280000000006</v>
      </c>
      <c r="X19" s="25">
        <f t="shared" si="0"/>
        <v>61.423230000000004</v>
      </c>
      <c r="Z19" s="31"/>
    </row>
    <row r="20" spans="2:26" ht="33" customHeight="1" x14ac:dyDescent="0.25">
      <c r="B20" s="9" t="s">
        <v>16</v>
      </c>
      <c r="C20" s="48" t="s">
        <v>59</v>
      </c>
      <c r="D20" s="27" t="s">
        <v>13</v>
      </c>
      <c r="E20" s="10">
        <f>12712.84/1000</f>
        <v>12.71284</v>
      </c>
      <c r="F20" s="15">
        <f>13686.3/1000</f>
        <v>13.686299999999999</v>
      </c>
      <c r="G20" s="10">
        <f>14303.49/1000</f>
        <v>14.30349</v>
      </c>
      <c r="H20" s="15">
        <f>16124.65/1000</f>
        <v>16.124649999999999</v>
      </c>
      <c r="I20" s="10">
        <f>14210.07/1000</f>
        <v>14.21007</v>
      </c>
      <c r="J20" s="15">
        <f>15824.84/1000</f>
        <v>15.82484</v>
      </c>
      <c r="K20" s="36">
        <v>3.2674499999999997</v>
      </c>
      <c r="L20" s="3">
        <v>3.2674499999999997</v>
      </c>
      <c r="M20" s="36">
        <v>3.5485000000000002</v>
      </c>
      <c r="N20" s="15">
        <v>3.5485000000000002</v>
      </c>
      <c r="O20" s="10">
        <f>11965.87/1000</f>
        <v>11.965870000000001</v>
      </c>
      <c r="P20" s="39">
        <f>12390.3/1000</f>
        <v>12.3903</v>
      </c>
      <c r="Q20" s="10">
        <v>18.342610000000001</v>
      </c>
      <c r="R20" s="15">
        <v>19.26708</v>
      </c>
      <c r="S20" s="10">
        <f>14852.83/1000</f>
        <v>14.852829999999999</v>
      </c>
      <c r="T20" s="3">
        <f>S20</f>
        <v>14.852829999999999</v>
      </c>
      <c r="U20" s="3">
        <f>15897.5/1000</f>
        <v>15.897500000000001</v>
      </c>
      <c r="V20" s="15">
        <f>U20</f>
        <v>15.897500000000001</v>
      </c>
      <c r="W20" s="10">
        <f>54460.55/1000</f>
        <v>54.460550000000005</v>
      </c>
      <c r="X20" s="39">
        <f>61082.5/1000</f>
        <v>61.082500000000003</v>
      </c>
      <c r="Z20" s="32"/>
    </row>
    <row r="21" spans="2:26" ht="33" customHeight="1" x14ac:dyDescent="0.25">
      <c r="B21" s="9" t="s">
        <v>17</v>
      </c>
      <c r="C21" s="48" t="s">
        <v>34</v>
      </c>
      <c r="D21" s="27" t="s">
        <v>13</v>
      </c>
      <c r="E21" s="10">
        <v>0.18038999999999999</v>
      </c>
      <c r="F21" s="15">
        <v>0.19173999999999999</v>
      </c>
      <c r="G21" s="10">
        <v>0.28608</v>
      </c>
      <c r="H21" s="15">
        <v>0.32612999999999998</v>
      </c>
      <c r="I21" s="10">
        <v>0.22781999999999999</v>
      </c>
      <c r="J21" s="15">
        <v>0.24215999999999999</v>
      </c>
      <c r="K21" s="36">
        <v>0.17352000000000001</v>
      </c>
      <c r="L21" s="3">
        <v>0.17352000000000001</v>
      </c>
      <c r="M21" s="36">
        <v>0.18568000000000001</v>
      </c>
      <c r="N21" s="15">
        <v>0.18568000000000001</v>
      </c>
      <c r="O21" s="10">
        <v>0.17352000000000001</v>
      </c>
      <c r="P21" s="15">
        <v>0.18568000000000001</v>
      </c>
      <c r="Q21" s="10">
        <v>0.43419999999999997</v>
      </c>
      <c r="R21" s="15">
        <v>0.46339999999999998</v>
      </c>
      <c r="S21" s="10">
        <v>0.17727999999999999</v>
      </c>
      <c r="T21" s="3">
        <f>S21</f>
        <v>0.17727999999999999</v>
      </c>
      <c r="U21" s="3">
        <v>0.18915999999999999</v>
      </c>
      <c r="V21" s="15">
        <f>U21</f>
        <v>0.18915999999999999</v>
      </c>
      <c r="W21" s="10">
        <v>0.34072999999999998</v>
      </c>
      <c r="X21" s="15">
        <v>0.34072999999999998</v>
      </c>
      <c r="Z21" s="32"/>
    </row>
    <row r="22" spans="2:26" ht="33" customHeight="1" x14ac:dyDescent="0.25">
      <c r="B22" s="9" t="s">
        <v>18</v>
      </c>
      <c r="C22" s="48" t="s">
        <v>62</v>
      </c>
      <c r="D22" s="27" t="s">
        <v>13</v>
      </c>
      <c r="E22" s="10">
        <f>3468.88/1000</f>
        <v>3.46888</v>
      </c>
      <c r="F22" s="15">
        <f>4774.48/1000</f>
        <v>4.7744799999999996</v>
      </c>
      <c r="G22" s="10">
        <f>2501.57/1000</f>
        <v>2.5015700000000001</v>
      </c>
      <c r="H22" s="15">
        <f>3029.12/1000</f>
        <v>3.0291199999999998</v>
      </c>
      <c r="I22" s="10">
        <f>1606.65/1000</f>
        <v>1.6066500000000001</v>
      </c>
      <c r="J22" s="15">
        <f>2196.07/1000</f>
        <v>2.1960700000000002</v>
      </c>
      <c r="K22" s="36">
        <f>1387.15/1000</f>
        <v>1.3871500000000001</v>
      </c>
      <c r="L22" s="3">
        <f>2039.81/1000</f>
        <v>2.0398100000000001</v>
      </c>
      <c r="M22" s="36">
        <f>1677.1/1000</f>
        <v>1.6770999999999998</v>
      </c>
      <c r="N22" s="15">
        <f>2512.38/1000</f>
        <v>2.5123800000000003</v>
      </c>
      <c r="O22" s="10">
        <f>2811.48/1000</f>
        <v>2.81148</v>
      </c>
      <c r="P22" s="39">
        <f>6550.82/1000</f>
        <v>6.5508199999999999</v>
      </c>
      <c r="Q22" s="10">
        <f>1992.85/1000</f>
        <v>1.99285</v>
      </c>
      <c r="R22" s="15">
        <f>3891.45/1000</f>
        <v>3.8914499999999999</v>
      </c>
      <c r="S22" s="10">
        <f>2267.38/1000</f>
        <v>2.2673800000000002</v>
      </c>
      <c r="T22" s="3">
        <f>2405/1000</f>
        <v>2.4049999999999998</v>
      </c>
      <c r="U22" s="3">
        <f>4297.27/1000</f>
        <v>4.2972700000000001</v>
      </c>
      <c r="V22" s="15">
        <f>4934.25/1000</f>
        <v>4.9342499999999996</v>
      </c>
      <c r="W22" s="10"/>
      <c r="X22" s="15"/>
      <c r="Z22" s="32"/>
    </row>
    <row r="23" spans="2:26" s="2" customFormat="1" ht="33" customHeight="1" x14ac:dyDescent="0.2">
      <c r="B23" s="67" t="s">
        <v>24</v>
      </c>
      <c r="C23" s="68"/>
      <c r="D23" s="69"/>
      <c r="E23" s="24"/>
      <c r="F23" s="25"/>
      <c r="G23" s="24"/>
      <c r="H23" s="25"/>
      <c r="I23" s="24"/>
      <c r="J23" s="25"/>
      <c r="K23" s="35"/>
      <c r="L23" s="23"/>
      <c r="M23" s="35"/>
      <c r="N23" s="25"/>
      <c r="O23" s="24"/>
      <c r="P23" s="25"/>
      <c r="Q23" s="24"/>
      <c r="R23" s="25"/>
      <c r="S23" s="24"/>
      <c r="T23" s="23"/>
      <c r="U23" s="23"/>
      <c r="V23" s="25"/>
      <c r="W23" s="24"/>
      <c r="X23" s="25"/>
    </row>
    <row r="24" spans="2:26" s="2" customFormat="1" ht="33" customHeight="1" x14ac:dyDescent="0.25">
      <c r="B24" s="22" t="s">
        <v>1</v>
      </c>
      <c r="C24" s="41" t="s">
        <v>40</v>
      </c>
      <c r="D24" s="28" t="s">
        <v>13</v>
      </c>
      <c r="E24" s="24">
        <f t="shared" ref="E24:X24" si="1">E25+E26+E27</f>
        <v>10.165520000000001</v>
      </c>
      <c r="F24" s="25">
        <f t="shared" si="1"/>
        <v>13.504000000000001</v>
      </c>
      <c r="G24" s="24">
        <f t="shared" si="1"/>
        <v>8.7541100000000007</v>
      </c>
      <c r="H24" s="25">
        <f t="shared" si="1"/>
        <v>12.865819999999999</v>
      </c>
      <c r="I24" s="24">
        <f t="shared" si="1"/>
        <v>8.5299200000000006</v>
      </c>
      <c r="J24" s="25">
        <f t="shared" si="1"/>
        <v>11.15462</v>
      </c>
      <c r="K24" s="35">
        <f t="shared" si="1"/>
        <v>3.3501100000000004</v>
      </c>
      <c r="L24" s="23">
        <f t="shared" si="1"/>
        <v>4.0027699999999999</v>
      </c>
      <c r="M24" s="35">
        <f t="shared" si="1"/>
        <v>3.5186399999999995</v>
      </c>
      <c r="N24" s="25">
        <f t="shared" si="1"/>
        <v>4.3539200000000005</v>
      </c>
      <c r="O24" s="24">
        <f t="shared" si="1"/>
        <v>9.3313600000000001</v>
      </c>
      <c r="P24" s="25">
        <f t="shared" si="1"/>
        <v>15.968459999999999</v>
      </c>
      <c r="Q24" s="24">
        <f t="shared" si="1"/>
        <v>9.8055400000000006</v>
      </c>
      <c r="R24" s="25">
        <f t="shared" si="1"/>
        <v>14.36318</v>
      </c>
      <c r="S24" s="24">
        <f t="shared" si="1"/>
        <v>9.3508999999999993</v>
      </c>
      <c r="T24" s="23">
        <f t="shared" si="1"/>
        <v>9.4885199999999994</v>
      </c>
      <c r="U24" s="23">
        <f t="shared" si="1"/>
        <v>14.033470000000001</v>
      </c>
      <c r="V24" s="25">
        <f t="shared" si="1"/>
        <v>14.670449999999999</v>
      </c>
      <c r="W24" s="24">
        <f t="shared" si="1"/>
        <v>8.5026799999999998</v>
      </c>
      <c r="X24" s="25">
        <f t="shared" si="1"/>
        <v>10.99971</v>
      </c>
    </row>
    <row r="25" spans="2:26" ht="33" customHeight="1" x14ac:dyDescent="0.25">
      <c r="B25" s="9" t="s">
        <v>16</v>
      </c>
      <c r="C25" s="48" t="s">
        <v>59</v>
      </c>
      <c r="D25" s="27" t="s">
        <v>13</v>
      </c>
      <c r="E25" s="10">
        <f>6516.25/1000</f>
        <v>6.5162500000000003</v>
      </c>
      <c r="F25" s="15">
        <f>8537.78/1000</f>
        <v>8.5377800000000015</v>
      </c>
      <c r="G25" s="10">
        <f>5966.46/1000</f>
        <v>5.9664599999999997</v>
      </c>
      <c r="H25" s="15">
        <f>9510.57/1000</f>
        <v>9.5105699999999995</v>
      </c>
      <c r="I25" s="10">
        <f>6695.45/1000</f>
        <v>6.6954500000000001</v>
      </c>
      <c r="J25" s="15">
        <f>8716.39/1000</f>
        <v>8.7163899999999988</v>
      </c>
      <c r="K25" s="36">
        <f>1789.44/1000</f>
        <v>1.7894400000000001</v>
      </c>
      <c r="L25" s="3">
        <f>1789.44/1000</f>
        <v>1.7894400000000001</v>
      </c>
      <c r="M25" s="36">
        <f>1655.86/1000</f>
        <v>1.6558599999999999</v>
      </c>
      <c r="N25" s="15">
        <f>M25</f>
        <v>1.6558599999999999</v>
      </c>
      <c r="O25" s="10">
        <f>6346.36/1000</f>
        <v>6.3463599999999998</v>
      </c>
      <c r="P25" s="39">
        <f>9231.96/1000</f>
        <v>9.2319599999999991</v>
      </c>
      <c r="Q25" s="10">
        <f>7378.49/1000</f>
        <v>7.3784900000000002</v>
      </c>
      <c r="R25" s="15">
        <f>10008.33/1000</f>
        <v>10.008329999999999</v>
      </c>
      <c r="S25" s="10">
        <f>6906.24/1000</f>
        <v>6.9062399999999995</v>
      </c>
      <c r="T25" s="3">
        <f>6906.24/1000</f>
        <v>6.9062399999999995</v>
      </c>
      <c r="U25" s="3">
        <f>9547.04/1000</f>
        <v>9.5470400000000009</v>
      </c>
      <c r="V25" s="15">
        <f>9547.04/1000</f>
        <v>9.5470400000000009</v>
      </c>
      <c r="W25" s="10">
        <f>8161.95/1000</f>
        <v>8.1619499999999992</v>
      </c>
      <c r="X25" s="39">
        <f>10658.98/1000</f>
        <v>10.65898</v>
      </c>
    </row>
    <row r="26" spans="2:26" ht="33" customHeight="1" x14ac:dyDescent="0.25">
      <c r="B26" s="9" t="s">
        <v>17</v>
      </c>
      <c r="C26" s="48" t="s">
        <v>34</v>
      </c>
      <c r="D26" s="27" t="s">
        <v>13</v>
      </c>
      <c r="E26" s="10">
        <v>0.18038999999999999</v>
      </c>
      <c r="F26" s="15">
        <v>0.19173999999999999</v>
      </c>
      <c r="G26" s="10">
        <v>0.28608</v>
      </c>
      <c r="H26" s="15">
        <v>0.32612999999999998</v>
      </c>
      <c r="I26" s="10">
        <v>0.22781999999999999</v>
      </c>
      <c r="J26" s="15">
        <v>0.24215999999999999</v>
      </c>
      <c r="K26" s="3">
        <v>0.17352000000000001</v>
      </c>
      <c r="L26" s="3">
        <v>0.17352000000000001</v>
      </c>
      <c r="M26" s="36">
        <v>0.18568000000000001</v>
      </c>
      <c r="N26" s="15">
        <v>0.18568000000000001</v>
      </c>
      <c r="O26" s="10">
        <v>0.17352000000000001</v>
      </c>
      <c r="P26" s="15">
        <v>0.18568000000000001</v>
      </c>
      <c r="Q26" s="10">
        <v>0.43419999999999997</v>
      </c>
      <c r="R26" s="15">
        <v>0.46339999999999998</v>
      </c>
      <c r="S26" s="10">
        <v>0.17727999999999999</v>
      </c>
      <c r="T26" s="3">
        <f>S26</f>
        <v>0.17727999999999999</v>
      </c>
      <c r="U26" s="3">
        <v>0.18915999999999999</v>
      </c>
      <c r="V26" s="15">
        <f>U26</f>
        <v>0.18915999999999999</v>
      </c>
      <c r="W26" s="10">
        <v>0.34072999999999998</v>
      </c>
      <c r="X26" s="15">
        <v>0.34072999999999998</v>
      </c>
      <c r="Z26" s="32"/>
    </row>
    <row r="27" spans="2:26" ht="33" customHeight="1" x14ac:dyDescent="0.25">
      <c r="B27" s="9" t="s">
        <v>18</v>
      </c>
      <c r="C27" s="48" t="s">
        <v>62</v>
      </c>
      <c r="D27" s="27" t="s">
        <v>13</v>
      </c>
      <c r="E27" s="10">
        <f>3468.88/1000</f>
        <v>3.46888</v>
      </c>
      <c r="F27" s="15">
        <f>4774.48/1000</f>
        <v>4.7744799999999996</v>
      </c>
      <c r="G27" s="10">
        <f>2501.57/1000</f>
        <v>2.5015700000000001</v>
      </c>
      <c r="H27" s="15">
        <f>3029.12/1000</f>
        <v>3.0291199999999998</v>
      </c>
      <c r="I27" s="10">
        <f>1606.65/1000</f>
        <v>1.6066500000000001</v>
      </c>
      <c r="J27" s="15">
        <f>2196.07/1000</f>
        <v>2.1960700000000002</v>
      </c>
      <c r="K27" s="36">
        <f>1387.15/1000</f>
        <v>1.3871500000000001</v>
      </c>
      <c r="L27" s="3">
        <f>2039.81/1000</f>
        <v>2.0398100000000001</v>
      </c>
      <c r="M27" s="36">
        <f>1677.1/1000</f>
        <v>1.6770999999999998</v>
      </c>
      <c r="N27" s="15">
        <f>2512.38/1000</f>
        <v>2.5123800000000003</v>
      </c>
      <c r="O27" s="10">
        <f>2811.48/1000</f>
        <v>2.81148</v>
      </c>
      <c r="P27" s="39">
        <f>6550.82/1000</f>
        <v>6.5508199999999999</v>
      </c>
      <c r="Q27" s="10">
        <f>1992.85/1000</f>
        <v>1.99285</v>
      </c>
      <c r="R27" s="15">
        <f>3891.45/1000</f>
        <v>3.8914499999999999</v>
      </c>
      <c r="S27" s="10">
        <f>2267.38/1000</f>
        <v>2.2673800000000002</v>
      </c>
      <c r="T27" s="3">
        <f>2405/1000</f>
        <v>2.4049999999999998</v>
      </c>
      <c r="U27" s="3">
        <f>4297.27/1000</f>
        <v>4.2972700000000001</v>
      </c>
      <c r="V27" s="15">
        <f>4934.25/1000</f>
        <v>4.9342499999999996</v>
      </c>
      <c r="W27" s="10"/>
      <c r="X27" s="15"/>
      <c r="Z27" s="32"/>
    </row>
    <row r="28" spans="2:26" s="2" customFormat="1" ht="33" customHeight="1" x14ac:dyDescent="0.25">
      <c r="B28" s="22" t="s">
        <v>2</v>
      </c>
      <c r="C28" s="41" t="s">
        <v>40</v>
      </c>
      <c r="D28" s="28" t="s">
        <v>13</v>
      </c>
      <c r="E28" s="24">
        <f t="shared" ref="E28:X28" si="2">E29+E30+E31</f>
        <v>16.362109999999998</v>
      </c>
      <c r="F28" s="25">
        <f t="shared" si="2"/>
        <v>18.652519999999999</v>
      </c>
      <c r="G28" s="24">
        <f t="shared" si="2"/>
        <v>17.091139999999999</v>
      </c>
      <c r="H28" s="25">
        <f t="shared" si="2"/>
        <v>19.479899999999997</v>
      </c>
      <c r="I28" s="24">
        <f t="shared" si="2"/>
        <v>16.044539999999998</v>
      </c>
      <c r="J28" s="25">
        <f t="shared" si="2"/>
        <v>18.263069999999999</v>
      </c>
      <c r="K28" s="35">
        <f t="shared" si="2"/>
        <v>4.8281200000000002</v>
      </c>
      <c r="L28" s="23">
        <f t="shared" si="2"/>
        <v>5.4807799999999993</v>
      </c>
      <c r="M28" s="35">
        <f t="shared" si="2"/>
        <v>5.4112799999999996</v>
      </c>
      <c r="N28" s="25">
        <f t="shared" si="2"/>
        <v>6.2465600000000006</v>
      </c>
      <c r="O28" s="24">
        <f t="shared" si="2"/>
        <v>14.95087</v>
      </c>
      <c r="P28" s="25">
        <f t="shared" si="2"/>
        <v>19.126799999999999</v>
      </c>
      <c r="Q28" s="24">
        <f t="shared" si="2"/>
        <v>20.769660000000002</v>
      </c>
      <c r="R28" s="25">
        <f t="shared" si="2"/>
        <v>23.621929999999999</v>
      </c>
      <c r="S28" s="24">
        <f t="shared" si="2"/>
        <v>17.29749</v>
      </c>
      <c r="T28" s="23">
        <f t="shared" si="2"/>
        <v>17.435109999999998</v>
      </c>
      <c r="U28" s="23">
        <f t="shared" si="2"/>
        <v>20.383930000000003</v>
      </c>
      <c r="V28" s="25">
        <f t="shared" si="2"/>
        <v>21.020910000000001</v>
      </c>
      <c r="W28" s="24">
        <f t="shared" si="2"/>
        <v>54.801280000000006</v>
      </c>
      <c r="X28" s="25">
        <f t="shared" si="2"/>
        <v>61.423230000000004</v>
      </c>
    </row>
    <row r="29" spans="2:26" ht="33" customHeight="1" x14ac:dyDescent="0.25">
      <c r="B29" s="9" t="s">
        <v>16</v>
      </c>
      <c r="C29" s="48" t="s">
        <v>59</v>
      </c>
      <c r="D29" s="27" t="s">
        <v>13</v>
      </c>
      <c r="E29" s="10">
        <f>E20</f>
        <v>12.71284</v>
      </c>
      <c r="F29" s="15">
        <f t="shared" ref="F29:W29" si="3">F20</f>
        <v>13.686299999999999</v>
      </c>
      <c r="G29" s="10">
        <f t="shared" si="3"/>
        <v>14.30349</v>
      </c>
      <c r="H29" s="15">
        <f t="shared" si="3"/>
        <v>16.124649999999999</v>
      </c>
      <c r="I29" s="10">
        <f t="shared" si="3"/>
        <v>14.21007</v>
      </c>
      <c r="J29" s="15">
        <f t="shared" si="3"/>
        <v>15.82484</v>
      </c>
      <c r="K29" s="36">
        <f>L29</f>
        <v>3.2674499999999997</v>
      </c>
      <c r="L29" s="3">
        <f t="shared" si="3"/>
        <v>3.2674499999999997</v>
      </c>
      <c r="M29" s="36">
        <f>N29</f>
        <v>3.5485000000000002</v>
      </c>
      <c r="N29" s="15">
        <f t="shared" si="3"/>
        <v>3.5485000000000002</v>
      </c>
      <c r="O29" s="10">
        <f t="shared" si="3"/>
        <v>11.965870000000001</v>
      </c>
      <c r="P29" s="39">
        <f>12390.3/1000</f>
        <v>12.3903</v>
      </c>
      <c r="Q29" s="10">
        <f>Q20</f>
        <v>18.342610000000001</v>
      </c>
      <c r="R29" s="15">
        <f>R20</f>
        <v>19.26708</v>
      </c>
      <c r="S29" s="10">
        <f t="shared" si="3"/>
        <v>14.852829999999999</v>
      </c>
      <c r="T29" s="3">
        <f t="shared" si="3"/>
        <v>14.852829999999999</v>
      </c>
      <c r="U29" s="3">
        <f t="shared" si="3"/>
        <v>15.897500000000001</v>
      </c>
      <c r="V29" s="15">
        <f t="shared" si="3"/>
        <v>15.897500000000001</v>
      </c>
      <c r="W29" s="10">
        <f t="shared" si="3"/>
        <v>54.460550000000005</v>
      </c>
      <c r="X29" s="39">
        <f>61082.5/1000</f>
        <v>61.082500000000003</v>
      </c>
    </row>
    <row r="30" spans="2:26" ht="33" customHeight="1" x14ac:dyDescent="0.25">
      <c r="B30" s="9" t="s">
        <v>17</v>
      </c>
      <c r="C30" s="48" t="s">
        <v>34</v>
      </c>
      <c r="D30" s="27" t="s">
        <v>13</v>
      </c>
      <c r="E30" s="10">
        <v>0.18038999999999999</v>
      </c>
      <c r="F30" s="15">
        <v>0.19173999999999999</v>
      </c>
      <c r="G30" s="10">
        <v>0.28608</v>
      </c>
      <c r="H30" s="15">
        <v>0.32612999999999998</v>
      </c>
      <c r="I30" s="10">
        <v>0.22781999999999999</v>
      </c>
      <c r="J30" s="15">
        <v>0.24215999999999999</v>
      </c>
      <c r="K30" s="36">
        <v>0.17352000000000001</v>
      </c>
      <c r="L30" s="3">
        <v>0.17352000000000001</v>
      </c>
      <c r="M30" s="36">
        <v>0.18568000000000001</v>
      </c>
      <c r="N30" s="15">
        <v>0.18568000000000001</v>
      </c>
      <c r="O30" s="10">
        <v>0.17352000000000001</v>
      </c>
      <c r="P30" s="15">
        <v>0.18568000000000001</v>
      </c>
      <c r="Q30" s="10">
        <v>0.43419999999999997</v>
      </c>
      <c r="R30" s="15">
        <v>0.46339999999999998</v>
      </c>
      <c r="S30" s="10">
        <v>0.17727999999999999</v>
      </c>
      <c r="T30" s="3">
        <f>S30</f>
        <v>0.17727999999999999</v>
      </c>
      <c r="U30" s="3">
        <v>0.18915999999999999</v>
      </c>
      <c r="V30" s="15">
        <f>U30</f>
        <v>0.18915999999999999</v>
      </c>
      <c r="W30" s="10">
        <v>0.34072999999999998</v>
      </c>
      <c r="X30" s="15">
        <v>0.34072999999999998</v>
      </c>
      <c r="Z30" s="32"/>
    </row>
    <row r="31" spans="2:26" ht="33" customHeight="1" x14ac:dyDescent="0.25">
      <c r="B31" s="9" t="s">
        <v>18</v>
      </c>
      <c r="C31" s="48" t="s">
        <v>62</v>
      </c>
      <c r="D31" s="27" t="s">
        <v>13</v>
      </c>
      <c r="E31" s="10">
        <f>3468.88/1000</f>
        <v>3.46888</v>
      </c>
      <c r="F31" s="15">
        <f>4774.48/1000</f>
        <v>4.7744799999999996</v>
      </c>
      <c r="G31" s="10">
        <f>2501.57/1000</f>
        <v>2.5015700000000001</v>
      </c>
      <c r="H31" s="15">
        <f>3029.12/1000</f>
        <v>3.0291199999999998</v>
      </c>
      <c r="I31" s="10">
        <f>1606.65/1000</f>
        <v>1.6066500000000001</v>
      </c>
      <c r="J31" s="15">
        <f>2196.07/1000</f>
        <v>2.1960700000000002</v>
      </c>
      <c r="K31" s="36">
        <f>1387.15/1000</f>
        <v>1.3871500000000001</v>
      </c>
      <c r="L31" s="3">
        <f>2039.81/1000</f>
        <v>2.0398100000000001</v>
      </c>
      <c r="M31" s="36">
        <f>1677.1/1000</f>
        <v>1.6770999999999998</v>
      </c>
      <c r="N31" s="15">
        <f>2512.38/1000</f>
        <v>2.5123800000000003</v>
      </c>
      <c r="O31" s="10">
        <f>2811.48/1000</f>
        <v>2.81148</v>
      </c>
      <c r="P31" s="39">
        <f>P27</f>
        <v>6.5508199999999999</v>
      </c>
      <c r="Q31" s="10">
        <f>1992.85/1000</f>
        <v>1.99285</v>
      </c>
      <c r="R31" s="15">
        <f>3891.45/1000</f>
        <v>3.8914499999999999</v>
      </c>
      <c r="S31" s="10">
        <f>2267.38/1000</f>
        <v>2.2673800000000002</v>
      </c>
      <c r="T31" s="3">
        <f>2405/1000</f>
        <v>2.4049999999999998</v>
      </c>
      <c r="U31" s="3">
        <f>4297.27/1000</f>
        <v>4.2972700000000001</v>
      </c>
      <c r="V31" s="15">
        <f>4934.25/1000</f>
        <v>4.9342499999999996</v>
      </c>
      <c r="W31" s="10"/>
      <c r="X31" s="15"/>
      <c r="Z31" s="32"/>
    </row>
    <row r="32" spans="2:26" s="2" customFormat="1" ht="33" customHeight="1" x14ac:dyDescent="0.25">
      <c r="B32" s="22" t="s">
        <v>3</v>
      </c>
      <c r="C32" s="41" t="s">
        <v>40</v>
      </c>
      <c r="D32" s="28" t="s">
        <v>13</v>
      </c>
      <c r="E32" s="24">
        <f t="shared" ref="E32:X32" si="4">E33+E34+E35</f>
        <v>21.640689999999996</v>
      </c>
      <c r="F32" s="25">
        <f t="shared" si="4"/>
        <v>24.668220000000002</v>
      </c>
      <c r="G32" s="24">
        <f t="shared" si="4"/>
        <v>24.191339999999997</v>
      </c>
      <c r="H32" s="25">
        <f t="shared" si="4"/>
        <v>27.573319999999999</v>
      </c>
      <c r="I32" s="24">
        <f t="shared" si="4"/>
        <v>22.451610000000002</v>
      </c>
      <c r="J32" s="25">
        <f t="shared" si="4"/>
        <v>25.556539999999998</v>
      </c>
      <c r="K32" s="35">
        <f t="shared" si="4"/>
        <v>6.18668</v>
      </c>
      <c r="L32" s="23">
        <f t="shared" si="4"/>
        <v>6.83934</v>
      </c>
      <c r="M32" s="35">
        <f t="shared" si="4"/>
        <v>6.9595199999999995</v>
      </c>
      <c r="N32" s="25">
        <f t="shared" si="4"/>
        <v>7.7947999999999995</v>
      </c>
      <c r="O32" s="24">
        <f t="shared" si="4"/>
        <v>22.61345</v>
      </c>
      <c r="P32" s="25">
        <f t="shared" si="4"/>
        <v>25.826740000000001</v>
      </c>
      <c r="Q32" s="24">
        <f t="shared" si="4"/>
        <v>30.109469999999998</v>
      </c>
      <c r="R32" s="25">
        <f t="shared" si="4"/>
        <v>34.244399999999999</v>
      </c>
      <c r="S32" s="24">
        <f t="shared" si="4"/>
        <v>24.067679999999999</v>
      </c>
      <c r="T32" s="23">
        <f t="shared" si="4"/>
        <v>24.205300000000001</v>
      </c>
      <c r="U32" s="23">
        <f t="shared" si="4"/>
        <v>26.954640000000001</v>
      </c>
      <c r="V32" s="25">
        <f t="shared" si="4"/>
        <v>27.591619999999999</v>
      </c>
      <c r="W32" s="24">
        <f t="shared" si="4"/>
        <v>94.240830000000003</v>
      </c>
      <c r="X32" s="25">
        <f t="shared" si="4"/>
        <v>104.37659999999998</v>
      </c>
    </row>
    <row r="33" spans="2:26" ht="33" customHeight="1" x14ac:dyDescent="0.25">
      <c r="B33" s="9" t="s">
        <v>16</v>
      </c>
      <c r="C33" s="48" t="s">
        <v>59</v>
      </c>
      <c r="D33" s="27" t="s">
        <v>13</v>
      </c>
      <c r="E33" s="10">
        <f>17991.42/1000</f>
        <v>17.991419999999998</v>
      </c>
      <c r="F33" s="15">
        <f>19702/1000</f>
        <v>19.702000000000002</v>
      </c>
      <c r="G33" s="10">
        <f>21403.69/1000</f>
        <v>21.403689999999997</v>
      </c>
      <c r="H33" s="15">
        <f>24218.07/1000</f>
        <v>24.218070000000001</v>
      </c>
      <c r="I33" s="10">
        <f>20617.14/1000</f>
        <v>20.617139999999999</v>
      </c>
      <c r="J33" s="15">
        <f>23118.31/1000</f>
        <v>23.118310000000001</v>
      </c>
      <c r="K33" s="36">
        <f>4626.01/1000</f>
        <v>4.62601</v>
      </c>
      <c r="L33" s="3">
        <f>K33</f>
        <v>4.62601</v>
      </c>
      <c r="M33" s="36">
        <f>5096.74/1000</f>
        <v>5.0967399999999996</v>
      </c>
      <c r="N33" s="15">
        <f>M33</f>
        <v>5.0967399999999996</v>
      </c>
      <c r="O33" s="10">
        <f>19628.45/1000</f>
        <v>19.628450000000001</v>
      </c>
      <c r="P33" s="39">
        <f>19090.24/1000</f>
        <v>19.090240000000001</v>
      </c>
      <c r="Q33" s="10">
        <f>27682.42/1000</f>
        <v>27.682419999999997</v>
      </c>
      <c r="R33" s="15">
        <f>29889.55/1000</f>
        <v>29.88955</v>
      </c>
      <c r="S33" s="10">
        <f>21623.02/1000</f>
        <v>21.62302</v>
      </c>
      <c r="T33" s="3">
        <f>S33</f>
        <v>21.62302</v>
      </c>
      <c r="U33" s="3">
        <f>22468.21/1000</f>
        <v>22.468209999999999</v>
      </c>
      <c r="V33" s="15">
        <f>22468.21/1000</f>
        <v>22.468209999999999</v>
      </c>
      <c r="W33" s="10">
        <f>93900.1/1000</f>
        <v>93.900100000000009</v>
      </c>
      <c r="X33" s="39">
        <f>104035.87/1000</f>
        <v>104.03586999999999</v>
      </c>
    </row>
    <row r="34" spans="2:26" ht="33" customHeight="1" x14ac:dyDescent="0.25">
      <c r="B34" s="9" t="s">
        <v>17</v>
      </c>
      <c r="C34" s="48" t="s">
        <v>34</v>
      </c>
      <c r="D34" s="27" t="s">
        <v>13</v>
      </c>
      <c r="E34" s="10">
        <v>0.18038999999999999</v>
      </c>
      <c r="F34" s="15">
        <v>0.19173999999999999</v>
      </c>
      <c r="G34" s="10">
        <v>0.28608</v>
      </c>
      <c r="H34" s="15">
        <v>0.32612999999999998</v>
      </c>
      <c r="I34" s="10">
        <v>0.22781999999999999</v>
      </c>
      <c r="J34" s="15">
        <v>0.24215999999999999</v>
      </c>
      <c r="K34" s="36">
        <v>0.17352000000000001</v>
      </c>
      <c r="L34" s="3">
        <v>0.17352000000000001</v>
      </c>
      <c r="M34" s="36">
        <v>0.18568000000000001</v>
      </c>
      <c r="N34" s="15">
        <v>0.18568000000000001</v>
      </c>
      <c r="O34" s="10">
        <v>0.17352000000000001</v>
      </c>
      <c r="P34" s="15">
        <v>0.18568000000000001</v>
      </c>
      <c r="Q34" s="10">
        <v>0.43419999999999997</v>
      </c>
      <c r="R34" s="15">
        <v>0.46339999999999998</v>
      </c>
      <c r="S34" s="10">
        <v>0.17727999999999999</v>
      </c>
      <c r="T34" s="3">
        <f>S34</f>
        <v>0.17727999999999999</v>
      </c>
      <c r="U34" s="3">
        <v>0.18915999999999999</v>
      </c>
      <c r="V34" s="15">
        <f>U34</f>
        <v>0.18915999999999999</v>
      </c>
      <c r="W34" s="10">
        <v>0.34072999999999998</v>
      </c>
      <c r="X34" s="15">
        <v>0.34072999999999998</v>
      </c>
      <c r="Z34" s="32"/>
    </row>
    <row r="35" spans="2:26" ht="33" customHeight="1" x14ac:dyDescent="0.25">
      <c r="B35" s="9" t="s">
        <v>18</v>
      </c>
      <c r="C35" s="48" t="s">
        <v>62</v>
      </c>
      <c r="D35" s="27" t="s">
        <v>13</v>
      </c>
      <c r="E35" s="10">
        <f>3468.88/1000</f>
        <v>3.46888</v>
      </c>
      <c r="F35" s="15">
        <f>4774.48/1000</f>
        <v>4.7744799999999996</v>
      </c>
      <c r="G35" s="10">
        <f>2501.57/1000</f>
        <v>2.5015700000000001</v>
      </c>
      <c r="H35" s="15">
        <f>3029.12/1000</f>
        <v>3.0291199999999998</v>
      </c>
      <c r="I35" s="10">
        <f>1606.65/1000</f>
        <v>1.6066500000000001</v>
      </c>
      <c r="J35" s="15">
        <f>2196.07/1000</f>
        <v>2.1960700000000002</v>
      </c>
      <c r="K35" s="36">
        <f>1387.15/1000</f>
        <v>1.3871500000000001</v>
      </c>
      <c r="L35" s="3">
        <f>2039.81/1000</f>
        <v>2.0398100000000001</v>
      </c>
      <c r="M35" s="36">
        <f>1677.1/1000</f>
        <v>1.6770999999999998</v>
      </c>
      <c r="N35" s="15">
        <f>2512.38/1000</f>
        <v>2.5123800000000003</v>
      </c>
      <c r="O35" s="10">
        <f>2811.48/1000</f>
        <v>2.81148</v>
      </c>
      <c r="P35" s="39">
        <f>P31</f>
        <v>6.5508199999999999</v>
      </c>
      <c r="Q35" s="10">
        <f>1992.85/1000</f>
        <v>1.99285</v>
      </c>
      <c r="R35" s="15">
        <f>3891.45/1000</f>
        <v>3.8914499999999999</v>
      </c>
      <c r="S35" s="10">
        <f>2267.38/1000</f>
        <v>2.2673800000000002</v>
      </c>
      <c r="T35" s="3">
        <f>2405/1000</f>
        <v>2.4049999999999998</v>
      </c>
      <c r="U35" s="3">
        <f>4297.27/1000</f>
        <v>4.2972700000000001</v>
      </c>
      <c r="V35" s="15">
        <f>4934.25/1000</f>
        <v>4.9342499999999996</v>
      </c>
      <c r="W35" s="10"/>
      <c r="X35" s="15"/>
      <c r="Z35" s="32"/>
    </row>
    <row r="36" spans="2:26" s="2" customFormat="1" ht="33" customHeight="1" x14ac:dyDescent="0.2">
      <c r="B36" s="67" t="s">
        <v>25</v>
      </c>
      <c r="C36" s="68"/>
      <c r="D36" s="69"/>
      <c r="E36" s="24"/>
      <c r="F36" s="25"/>
      <c r="G36" s="24"/>
      <c r="H36" s="25"/>
      <c r="I36" s="24"/>
      <c r="J36" s="25"/>
      <c r="K36" s="35"/>
      <c r="L36" s="23"/>
      <c r="M36" s="35"/>
      <c r="N36" s="25"/>
      <c r="O36" s="24"/>
      <c r="P36" s="25"/>
      <c r="Q36" s="24"/>
      <c r="R36" s="25"/>
      <c r="S36" s="24"/>
      <c r="T36" s="23"/>
      <c r="U36" s="23"/>
      <c r="V36" s="25"/>
      <c r="W36" s="24"/>
      <c r="X36" s="25"/>
    </row>
    <row r="37" spans="2:26" s="2" customFormat="1" ht="33" customHeight="1" x14ac:dyDescent="0.25">
      <c r="B37" s="22" t="s">
        <v>1</v>
      </c>
      <c r="C37" s="41" t="s">
        <v>40</v>
      </c>
      <c r="D37" s="28" t="s">
        <v>13</v>
      </c>
      <c r="E37" s="24">
        <f t="shared" ref="E37:X37" si="5">E38+E39+E40</f>
        <v>10.165520000000001</v>
      </c>
      <c r="F37" s="25">
        <f t="shared" si="5"/>
        <v>13.504000000000001</v>
      </c>
      <c r="G37" s="24">
        <f t="shared" si="5"/>
        <v>8.7541100000000007</v>
      </c>
      <c r="H37" s="25">
        <f t="shared" si="5"/>
        <v>12.865819999999999</v>
      </c>
      <c r="I37" s="24">
        <f t="shared" si="5"/>
        <v>8.5299200000000006</v>
      </c>
      <c r="J37" s="25">
        <f t="shared" si="5"/>
        <v>11.15462</v>
      </c>
      <c r="K37" s="35">
        <f t="shared" si="5"/>
        <v>3.3501100000000004</v>
      </c>
      <c r="L37" s="23">
        <f t="shared" si="5"/>
        <v>4.0027699999999999</v>
      </c>
      <c r="M37" s="35">
        <f t="shared" si="5"/>
        <v>3.5186399999999995</v>
      </c>
      <c r="N37" s="25">
        <f t="shared" si="5"/>
        <v>4.3539200000000005</v>
      </c>
      <c r="O37" s="24">
        <f t="shared" si="5"/>
        <v>9.3313600000000001</v>
      </c>
      <c r="P37" s="25">
        <f t="shared" si="5"/>
        <v>15.968459999999999</v>
      </c>
      <c r="Q37" s="24">
        <f t="shared" si="5"/>
        <v>9.8055400000000006</v>
      </c>
      <c r="R37" s="25">
        <f t="shared" si="5"/>
        <v>14.36318</v>
      </c>
      <c r="S37" s="24">
        <f t="shared" si="5"/>
        <v>9.3508999999999993</v>
      </c>
      <c r="T37" s="23">
        <f t="shared" si="5"/>
        <v>9.4885199999999994</v>
      </c>
      <c r="U37" s="23">
        <f t="shared" si="5"/>
        <v>14.033470000000001</v>
      </c>
      <c r="V37" s="25">
        <f t="shared" si="5"/>
        <v>14.670449999999999</v>
      </c>
      <c r="W37" s="24">
        <f t="shared" si="5"/>
        <v>8.5026799999999998</v>
      </c>
      <c r="X37" s="25">
        <f t="shared" si="5"/>
        <v>10.99971</v>
      </c>
    </row>
    <row r="38" spans="2:26" ht="33" customHeight="1" x14ac:dyDescent="0.25">
      <c r="B38" s="9" t="s">
        <v>16</v>
      </c>
      <c r="C38" s="48" t="s">
        <v>59</v>
      </c>
      <c r="D38" s="27" t="s">
        <v>13</v>
      </c>
      <c r="E38" s="10">
        <f>E25</f>
        <v>6.5162500000000003</v>
      </c>
      <c r="F38" s="15">
        <f t="shared" ref="F38:X38" si="6">F25</f>
        <v>8.5377800000000015</v>
      </c>
      <c r="G38" s="10">
        <f t="shared" si="6"/>
        <v>5.9664599999999997</v>
      </c>
      <c r="H38" s="15">
        <f t="shared" si="6"/>
        <v>9.5105699999999995</v>
      </c>
      <c r="I38" s="10">
        <f t="shared" si="6"/>
        <v>6.6954500000000001</v>
      </c>
      <c r="J38" s="15">
        <f t="shared" si="6"/>
        <v>8.7163899999999988</v>
      </c>
      <c r="K38" s="36">
        <f t="shared" si="6"/>
        <v>1.7894400000000001</v>
      </c>
      <c r="L38" s="3">
        <f t="shared" si="6"/>
        <v>1.7894400000000001</v>
      </c>
      <c r="M38" s="36">
        <f t="shared" si="6"/>
        <v>1.6558599999999999</v>
      </c>
      <c r="N38" s="15">
        <f t="shared" si="6"/>
        <v>1.6558599999999999</v>
      </c>
      <c r="O38" s="10">
        <f t="shared" si="6"/>
        <v>6.3463599999999998</v>
      </c>
      <c r="P38" s="39">
        <f t="shared" si="6"/>
        <v>9.2319599999999991</v>
      </c>
      <c r="Q38" s="10">
        <f>7378.49/1000</f>
        <v>7.3784900000000002</v>
      </c>
      <c r="R38" s="15">
        <f>10008.33/1000</f>
        <v>10.008329999999999</v>
      </c>
      <c r="S38" s="10">
        <f t="shared" si="6"/>
        <v>6.9062399999999995</v>
      </c>
      <c r="T38" s="3">
        <f t="shared" si="6"/>
        <v>6.9062399999999995</v>
      </c>
      <c r="U38" s="3">
        <f t="shared" si="6"/>
        <v>9.5470400000000009</v>
      </c>
      <c r="V38" s="15">
        <f t="shared" si="6"/>
        <v>9.5470400000000009</v>
      </c>
      <c r="W38" s="10">
        <f t="shared" si="6"/>
        <v>8.1619499999999992</v>
      </c>
      <c r="X38" s="15">
        <f t="shared" si="6"/>
        <v>10.65898</v>
      </c>
    </row>
    <row r="39" spans="2:26" ht="33" customHeight="1" x14ac:dyDescent="0.25">
      <c r="B39" s="9" t="s">
        <v>17</v>
      </c>
      <c r="C39" s="48" t="s">
        <v>34</v>
      </c>
      <c r="D39" s="27" t="s">
        <v>13</v>
      </c>
      <c r="E39" s="10">
        <v>0.18038999999999999</v>
      </c>
      <c r="F39" s="15">
        <v>0.19173999999999999</v>
      </c>
      <c r="G39" s="10">
        <v>0.28608</v>
      </c>
      <c r="H39" s="15">
        <v>0.32612999999999998</v>
      </c>
      <c r="I39" s="10">
        <v>0.22781999999999999</v>
      </c>
      <c r="J39" s="15">
        <v>0.24215999999999999</v>
      </c>
      <c r="K39" s="36">
        <v>0.17352000000000001</v>
      </c>
      <c r="L39" s="3">
        <v>0.17352000000000001</v>
      </c>
      <c r="M39" s="36">
        <v>0.18568000000000001</v>
      </c>
      <c r="N39" s="15">
        <v>0.18568000000000001</v>
      </c>
      <c r="O39" s="10">
        <v>0.17352000000000001</v>
      </c>
      <c r="P39" s="15">
        <v>0.18568000000000001</v>
      </c>
      <c r="Q39" s="10">
        <v>0.43419999999999997</v>
      </c>
      <c r="R39" s="15">
        <v>0.46339999999999998</v>
      </c>
      <c r="S39" s="10">
        <v>0.17727999999999999</v>
      </c>
      <c r="T39" s="3">
        <f>S39</f>
        <v>0.17727999999999999</v>
      </c>
      <c r="U39" s="3">
        <v>0.18915999999999999</v>
      </c>
      <c r="V39" s="15">
        <f>U39</f>
        <v>0.18915999999999999</v>
      </c>
      <c r="W39" s="10">
        <v>0.34072999999999998</v>
      </c>
      <c r="X39" s="15">
        <v>0.34072999999999998</v>
      </c>
      <c r="Z39" s="32"/>
    </row>
    <row r="40" spans="2:26" ht="33" customHeight="1" x14ac:dyDescent="0.25">
      <c r="B40" s="9" t="s">
        <v>18</v>
      </c>
      <c r="C40" s="48" t="s">
        <v>62</v>
      </c>
      <c r="D40" s="27" t="s">
        <v>13</v>
      </c>
      <c r="E40" s="10">
        <f>3468.88/1000</f>
        <v>3.46888</v>
      </c>
      <c r="F40" s="15">
        <f>4774.48/1000</f>
        <v>4.7744799999999996</v>
      </c>
      <c r="G40" s="10">
        <f>2501.57/1000</f>
        <v>2.5015700000000001</v>
      </c>
      <c r="H40" s="15">
        <f>3029.12/1000</f>
        <v>3.0291199999999998</v>
      </c>
      <c r="I40" s="10">
        <f>1606.65/1000</f>
        <v>1.6066500000000001</v>
      </c>
      <c r="J40" s="15">
        <f>2196.07/1000</f>
        <v>2.1960700000000002</v>
      </c>
      <c r="K40" s="36">
        <f>1387.15/1000</f>
        <v>1.3871500000000001</v>
      </c>
      <c r="L40" s="3">
        <f>2039.81/1000</f>
        <v>2.0398100000000001</v>
      </c>
      <c r="M40" s="36">
        <f>1677.1/1000</f>
        <v>1.6770999999999998</v>
      </c>
      <c r="N40" s="15">
        <f>2512.38/1000</f>
        <v>2.5123800000000003</v>
      </c>
      <c r="O40" s="10">
        <f>2811.48/1000</f>
        <v>2.81148</v>
      </c>
      <c r="P40" s="39">
        <f>P35</f>
        <v>6.5508199999999999</v>
      </c>
      <c r="Q40" s="10">
        <f>1992.85/1000</f>
        <v>1.99285</v>
      </c>
      <c r="R40" s="15">
        <f>3891.45/1000</f>
        <v>3.8914499999999999</v>
      </c>
      <c r="S40" s="10">
        <f>2267.38/1000</f>
        <v>2.2673800000000002</v>
      </c>
      <c r="T40" s="3">
        <f>2405/1000</f>
        <v>2.4049999999999998</v>
      </c>
      <c r="U40" s="3">
        <f>4297.27/1000</f>
        <v>4.2972700000000001</v>
      </c>
      <c r="V40" s="15">
        <f>4934.25/1000</f>
        <v>4.9342499999999996</v>
      </c>
      <c r="W40" s="10"/>
      <c r="X40" s="15"/>
      <c r="Z40" s="32"/>
    </row>
    <row r="41" spans="2:26" s="2" customFormat="1" ht="33" customHeight="1" x14ac:dyDescent="0.25">
      <c r="B41" s="22" t="s">
        <v>14</v>
      </c>
      <c r="C41" s="41" t="s">
        <v>40</v>
      </c>
      <c r="D41" s="28" t="s">
        <v>13</v>
      </c>
      <c r="E41" s="24">
        <f t="shared" ref="E41:X41" si="7">E42+E43+E44</f>
        <v>18.213139999999999</v>
      </c>
      <c r="F41" s="25">
        <f t="shared" si="7"/>
        <v>20.76116</v>
      </c>
      <c r="G41" s="24">
        <f t="shared" si="7"/>
        <v>19.580940000000002</v>
      </c>
      <c r="H41" s="25">
        <f t="shared" si="7"/>
        <v>22.317919999999997</v>
      </c>
      <c r="I41" s="24">
        <f t="shared" si="7"/>
        <v>18.288470000000004</v>
      </c>
      <c r="J41" s="25">
        <f t="shared" si="7"/>
        <v>20.816979999999997</v>
      </c>
      <c r="K41" s="35">
        <f t="shared" si="7"/>
        <v>5.3035499999999995</v>
      </c>
      <c r="L41" s="23">
        <f t="shared" si="7"/>
        <v>5.9562100000000004</v>
      </c>
      <c r="M41" s="35">
        <f t="shared" si="7"/>
        <v>5.953009999999999</v>
      </c>
      <c r="N41" s="25">
        <f t="shared" si="7"/>
        <v>6.7882899999999999</v>
      </c>
      <c r="O41" s="24">
        <f t="shared" si="7"/>
        <v>16.6295</v>
      </c>
      <c r="P41" s="25">
        <f t="shared" si="7"/>
        <v>20.0702</v>
      </c>
      <c r="Q41" s="24">
        <f t="shared" si="7"/>
        <v>24.044160000000002</v>
      </c>
      <c r="R41" s="25">
        <f t="shared" si="7"/>
        <v>27.346139999999998</v>
      </c>
      <c r="S41" s="24">
        <f t="shared" si="7"/>
        <v>19.670929999999998</v>
      </c>
      <c r="T41" s="23">
        <f t="shared" si="7"/>
        <v>19.80855</v>
      </c>
      <c r="U41" s="23">
        <f t="shared" si="7"/>
        <v>21.942790000000002</v>
      </c>
      <c r="V41" s="25">
        <f t="shared" si="7"/>
        <v>22.57977</v>
      </c>
      <c r="W41" s="24">
        <f t="shared" si="7"/>
        <v>68.671429999999987</v>
      </c>
      <c r="X41" s="25">
        <f t="shared" si="7"/>
        <v>76.484800000000007</v>
      </c>
    </row>
    <row r="42" spans="2:26" ht="33" customHeight="1" x14ac:dyDescent="0.25">
      <c r="B42" s="9" t="s">
        <v>16</v>
      </c>
      <c r="C42" s="48" t="s">
        <v>59</v>
      </c>
      <c r="D42" s="27" t="s">
        <v>13</v>
      </c>
      <c r="E42" s="10">
        <f>14563.87/1000</f>
        <v>14.563870000000001</v>
      </c>
      <c r="F42" s="15">
        <f>15794.94/1000</f>
        <v>15.79494</v>
      </c>
      <c r="G42" s="10">
        <f>16793.29/1000</f>
        <v>16.793290000000002</v>
      </c>
      <c r="H42" s="15">
        <f>18962.67/1000</f>
        <v>18.962669999999999</v>
      </c>
      <c r="I42" s="10">
        <f>16454/1000</f>
        <v>16.454000000000001</v>
      </c>
      <c r="J42" s="15">
        <f>18378.75/1000</f>
        <v>18.37875</v>
      </c>
      <c r="K42" s="36">
        <f>3742.88/1000</f>
        <v>3.74288</v>
      </c>
      <c r="L42" s="3">
        <f>K42</f>
        <v>3.74288</v>
      </c>
      <c r="M42" s="36">
        <f>4090.23/1000</f>
        <v>4.09023</v>
      </c>
      <c r="N42" s="15">
        <f>M42</f>
        <v>4.09023</v>
      </c>
      <c r="O42" s="10">
        <f>13644.5/1000</f>
        <v>13.644500000000001</v>
      </c>
      <c r="P42" s="39">
        <f>13333.7/1000</f>
        <v>13.3337</v>
      </c>
      <c r="Q42" s="10">
        <f>21617.11/1000</f>
        <v>21.61711</v>
      </c>
      <c r="R42" s="15">
        <f>22991.29/1000</f>
        <v>22.991289999999999</v>
      </c>
      <c r="S42" s="10">
        <f>17226.27/1000</f>
        <v>17.22627</v>
      </c>
      <c r="T42" s="3">
        <f>S42</f>
        <v>17.22627</v>
      </c>
      <c r="U42" s="3">
        <f>17456.36/1000</f>
        <v>17.45636</v>
      </c>
      <c r="V42" s="15">
        <f>U42</f>
        <v>17.45636</v>
      </c>
      <c r="W42" s="10">
        <f>68330.7/1000</f>
        <v>68.330699999999993</v>
      </c>
      <c r="X42" s="39">
        <f>76144.07/1000</f>
        <v>76.144070000000013</v>
      </c>
    </row>
    <row r="43" spans="2:26" ht="33" customHeight="1" x14ac:dyDescent="0.25">
      <c r="B43" s="9" t="s">
        <v>17</v>
      </c>
      <c r="C43" s="48" t="s">
        <v>34</v>
      </c>
      <c r="D43" s="27" t="s">
        <v>13</v>
      </c>
      <c r="E43" s="10">
        <v>0.18038999999999999</v>
      </c>
      <c r="F43" s="15">
        <v>0.19173999999999999</v>
      </c>
      <c r="G43" s="10">
        <v>0.28608</v>
      </c>
      <c r="H43" s="15">
        <v>0.32612999999999998</v>
      </c>
      <c r="I43" s="10">
        <v>0.22781999999999999</v>
      </c>
      <c r="J43" s="15">
        <v>0.24215999999999999</v>
      </c>
      <c r="K43" s="36">
        <v>0.17352000000000001</v>
      </c>
      <c r="L43" s="3">
        <v>0.17352000000000001</v>
      </c>
      <c r="M43" s="36">
        <v>0.18568000000000001</v>
      </c>
      <c r="N43" s="15">
        <v>0.18568000000000001</v>
      </c>
      <c r="O43" s="10">
        <v>0.17352000000000001</v>
      </c>
      <c r="P43" s="15">
        <v>0.18568000000000001</v>
      </c>
      <c r="Q43" s="10">
        <v>0.43419999999999997</v>
      </c>
      <c r="R43" s="15">
        <v>0.46339999999999998</v>
      </c>
      <c r="S43" s="10">
        <v>0.17727999999999999</v>
      </c>
      <c r="T43" s="3">
        <f>S43</f>
        <v>0.17727999999999999</v>
      </c>
      <c r="U43" s="3">
        <v>0.18915999999999999</v>
      </c>
      <c r="V43" s="15">
        <f>U43</f>
        <v>0.18915999999999999</v>
      </c>
      <c r="W43" s="10">
        <v>0.34072999999999998</v>
      </c>
      <c r="X43" s="15">
        <v>0.34072999999999998</v>
      </c>
      <c r="Z43" s="32"/>
    </row>
    <row r="44" spans="2:26" ht="33" customHeight="1" thickBot="1" x14ac:dyDescent="0.3">
      <c r="B44" s="11" t="s">
        <v>18</v>
      </c>
      <c r="C44" s="48" t="s">
        <v>62</v>
      </c>
      <c r="D44" s="29" t="s">
        <v>13</v>
      </c>
      <c r="E44" s="16">
        <v>3.46888</v>
      </c>
      <c r="F44" s="17">
        <v>4.7744799999999996</v>
      </c>
      <c r="G44" s="16">
        <v>2.5015700000000001</v>
      </c>
      <c r="H44" s="17">
        <v>3.0291199999999998</v>
      </c>
      <c r="I44" s="16">
        <v>1.6066500000000001</v>
      </c>
      <c r="J44" s="17">
        <v>2.1960700000000002</v>
      </c>
      <c r="K44" s="37">
        <v>1.3871500000000001</v>
      </c>
      <c r="L44" s="12">
        <v>2.0398100000000001</v>
      </c>
      <c r="M44" s="37">
        <v>1.6770999999999998</v>
      </c>
      <c r="N44" s="17">
        <v>2.5123800000000003</v>
      </c>
      <c r="O44" s="16">
        <v>2.81148</v>
      </c>
      <c r="P44" s="40">
        <f>P40</f>
        <v>6.5508199999999999</v>
      </c>
      <c r="Q44" s="16">
        <v>1.99285</v>
      </c>
      <c r="R44" s="17">
        <v>3.8914499999999999</v>
      </c>
      <c r="S44" s="19">
        <v>2.2673800000000002</v>
      </c>
      <c r="T44" s="20">
        <v>2.4049999999999998</v>
      </c>
      <c r="U44" s="20">
        <v>4.2972700000000001</v>
      </c>
      <c r="V44" s="21">
        <v>4.9342499999999996</v>
      </c>
      <c r="W44" s="16"/>
      <c r="X44" s="17"/>
    </row>
    <row r="46" spans="2:26" s="44" customFormat="1" ht="48.75" customHeight="1" x14ac:dyDescent="0.25">
      <c r="B46" s="45" t="s">
        <v>15</v>
      </c>
    </row>
    <row r="47" spans="2:26" s="46" customFormat="1" ht="59.25" customHeight="1" x14ac:dyDescent="0.25">
      <c r="B47" s="47" t="s">
        <v>41</v>
      </c>
      <c r="C47" s="74" t="s">
        <v>42</v>
      </c>
      <c r="D47" s="74"/>
      <c r="E47" s="74"/>
      <c r="F47" s="74"/>
      <c r="G47" s="74"/>
      <c r="H47" s="74"/>
      <c r="I47" s="74"/>
      <c r="J47" s="74"/>
      <c r="K47" s="74"/>
    </row>
    <row r="48" spans="2:26" s="46" customFormat="1" ht="59.25" customHeight="1" x14ac:dyDescent="0.25">
      <c r="B48" s="47" t="s">
        <v>43</v>
      </c>
      <c r="C48" s="74" t="s">
        <v>44</v>
      </c>
      <c r="D48" s="74"/>
      <c r="E48" s="74"/>
      <c r="F48" s="74"/>
      <c r="G48" s="74"/>
      <c r="H48" s="74"/>
      <c r="I48" s="74"/>
      <c r="J48" s="74"/>
      <c r="K48" s="74"/>
    </row>
    <row r="49" spans="1:11" s="46" customFormat="1" ht="59.25" customHeight="1" x14ac:dyDescent="0.25">
      <c r="B49" s="47" t="s">
        <v>45</v>
      </c>
      <c r="C49" s="74" t="s">
        <v>60</v>
      </c>
      <c r="D49" s="74"/>
      <c r="E49" s="74"/>
      <c r="F49" s="74"/>
      <c r="G49" s="74"/>
      <c r="H49" s="74"/>
      <c r="I49" s="74"/>
      <c r="J49" s="74"/>
      <c r="K49" s="74"/>
    </row>
    <row r="50" spans="1:11" s="46" customFormat="1" ht="59.25" customHeight="1" x14ac:dyDescent="0.25">
      <c r="B50" s="47" t="s">
        <v>46</v>
      </c>
      <c r="C50" s="74" t="s">
        <v>61</v>
      </c>
      <c r="D50" s="74"/>
      <c r="E50" s="74"/>
      <c r="F50" s="74"/>
      <c r="G50" s="74"/>
      <c r="H50" s="74"/>
      <c r="I50" s="74"/>
      <c r="J50" s="74"/>
      <c r="K50" s="74"/>
    </row>
    <row r="51" spans="1:11" s="46" customFormat="1" ht="59.25" customHeight="1" x14ac:dyDescent="0.25">
      <c r="B51" s="47" t="s">
        <v>47</v>
      </c>
      <c r="C51" s="74" t="s">
        <v>48</v>
      </c>
      <c r="D51" s="74"/>
      <c r="E51" s="74"/>
      <c r="F51" s="74"/>
      <c r="G51" s="74"/>
      <c r="H51" s="74"/>
      <c r="I51" s="74"/>
      <c r="J51" s="74"/>
      <c r="K51" s="74"/>
    </row>
    <row r="52" spans="1:11" s="46" customFormat="1" ht="59.25" customHeight="1" x14ac:dyDescent="0.25">
      <c r="B52" s="47" t="s">
        <v>49</v>
      </c>
      <c r="C52" s="74" t="s">
        <v>50</v>
      </c>
      <c r="D52" s="74"/>
      <c r="E52" s="74"/>
      <c r="F52" s="74"/>
      <c r="G52" s="74"/>
      <c r="H52" s="74"/>
      <c r="I52" s="74"/>
      <c r="J52" s="74"/>
      <c r="K52" s="74"/>
    </row>
    <row r="53" spans="1:11" s="46" customFormat="1" ht="59.25" customHeight="1" x14ac:dyDescent="0.25">
      <c r="B53" s="47" t="s">
        <v>51</v>
      </c>
      <c r="C53" s="74" t="s">
        <v>52</v>
      </c>
      <c r="D53" s="74"/>
      <c r="E53" s="74"/>
      <c r="F53" s="74"/>
      <c r="G53" s="74"/>
      <c r="H53" s="74"/>
      <c r="I53" s="74"/>
      <c r="J53" s="74"/>
      <c r="K53" s="74"/>
    </row>
    <row r="54" spans="1:11" s="46" customFormat="1" ht="59.25" customHeight="1" x14ac:dyDescent="0.25">
      <c r="B54" s="47" t="s">
        <v>53</v>
      </c>
      <c r="C54" s="74" t="s">
        <v>54</v>
      </c>
      <c r="D54" s="74"/>
      <c r="E54" s="74"/>
      <c r="F54" s="74"/>
      <c r="G54" s="74"/>
      <c r="H54" s="74"/>
      <c r="I54" s="74"/>
      <c r="J54" s="74"/>
      <c r="K54" s="74"/>
    </row>
    <row r="55" spans="1:11" s="46" customFormat="1" ht="59.25" customHeight="1" x14ac:dyDescent="0.25">
      <c r="B55" s="47" t="s">
        <v>55</v>
      </c>
      <c r="C55" s="74" t="s">
        <v>56</v>
      </c>
      <c r="D55" s="74"/>
      <c r="E55" s="74"/>
      <c r="F55" s="74"/>
      <c r="G55" s="74"/>
      <c r="H55" s="74"/>
      <c r="I55" s="74"/>
      <c r="J55" s="74"/>
      <c r="K55" s="74"/>
    </row>
    <row r="56" spans="1:11" s="46" customFormat="1" ht="59.25" customHeight="1" x14ac:dyDescent="0.25">
      <c r="B56" s="47" t="s">
        <v>57</v>
      </c>
      <c r="C56" s="74" t="s">
        <v>58</v>
      </c>
      <c r="D56" s="74"/>
      <c r="E56" s="74"/>
      <c r="F56" s="74"/>
      <c r="G56" s="74"/>
      <c r="H56" s="74"/>
      <c r="I56" s="74"/>
      <c r="J56" s="74"/>
      <c r="K56" s="74"/>
    </row>
    <row r="57" spans="1:11" x14ac:dyDescent="0.25">
      <c r="A57" s="42"/>
    </row>
    <row r="58" spans="1:11" x14ac:dyDescent="0.25">
      <c r="A58" s="42"/>
    </row>
    <row r="59" spans="1:11" x14ac:dyDescent="0.25">
      <c r="A59" s="42"/>
    </row>
    <row r="60" spans="1:11" x14ac:dyDescent="0.25">
      <c r="A60" s="42"/>
    </row>
    <row r="61" spans="1:11" x14ac:dyDescent="0.25">
      <c r="A61" s="42"/>
    </row>
    <row r="62" spans="1:11" x14ac:dyDescent="0.25">
      <c r="A62" s="42"/>
    </row>
    <row r="63" spans="1:11" x14ac:dyDescent="0.25">
      <c r="A63" s="42"/>
    </row>
    <row r="64" spans="1:11" x14ac:dyDescent="0.25">
      <c r="A64" s="42"/>
    </row>
    <row r="65" spans="1:1" x14ac:dyDescent="0.25">
      <c r="A65" s="42"/>
    </row>
    <row r="66" spans="1:1" x14ac:dyDescent="0.25">
      <c r="A66" s="42"/>
    </row>
    <row r="67" spans="1:1" x14ac:dyDescent="0.25">
      <c r="A67" s="42"/>
    </row>
    <row r="68" spans="1:1" x14ac:dyDescent="0.25">
      <c r="A68" s="42"/>
    </row>
  </sheetData>
  <mergeCells count="34">
    <mergeCell ref="C47:K47"/>
    <mergeCell ref="C48:K48"/>
    <mergeCell ref="C49:K49"/>
    <mergeCell ref="C50:K50"/>
    <mergeCell ref="C51:K51"/>
    <mergeCell ref="O16:P16"/>
    <mergeCell ref="Q16:R16"/>
    <mergeCell ref="S16:V16"/>
    <mergeCell ref="B16:B18"/>
    <mergeCell ref="C16:C18"/>
    <mergeCell ref="D16:D18"/>
    <mergeCell ref="E16:F16"/>
    <mergeCell ref="G16:H16"/>
    <mergeCell ref="B23:D23"/>
    <mergeCell ref="B36:D36"/>
    <mergeCell ref="B7:D7"/>
    <mergeCell ref="B3:X3"/>
    <mergeCell ref="B4:X4"/>
    <mergeCell ref="B6:O6"/>
    <mergeCell ref="B9:D9"/>
    <mergeCell ref="B10:D10"/>
    <mergeCell ref="B11:D11"/>
    <mergeCell ref="W16:X16"/>
    <mergeCell ref="K17:L17"/>
    <mergeCell ref="M17:N17"/>
    <mergeCell ref="S17:T17"/>
    <mergeCell ref="U17:V17"/>
    <mergeCell ref="I16:J16"/>
    <mergeCell ref="K16:N16"/>
    <mergeCell ref="C52:K52"/>
    <mergeCell ref="C53:K53"/>
    <mergeCell ref="C54:K54"/>
    <mergeCell ref="C55:K55"/>
    <mergeCell ref="C56:K56"/>
  </mergeCells>
  <hyperlinks>
    <hyperlink ref="B10:D10" r:id="rId1" display="Решение РЭК Тюменской области, ХМАО, ЯНАО от 27.11.2012 года №400"/>
    <hyperlink ref="B11:D11" r:id="rId2" display="Решение РЭК Тюменской области, ХМАО, ЯНАО от 21.05.2013 года №54"/>
    <hyperlink ref="B47" r:id="rId3"/>
    <hyperlink ref="B48" r:id="rId4"/>
    <hyperlink ref="B49" r:id="rId5"/>
    <hyperlink ref="B50" r:id="rId6"/>
    <hyperlink ref="B51" r:id="rId7"/>
    <hyperlink ref="B52" r:id="rId8"/>
    <hyperlink ref="B53" r:id="rId9"/>
    <hyperlink ref="B54" r:id="rId10"/>
    <hyperlink ref="B55" r:id="rId11"/>
    <hyperlink ref="B56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январь-июнь 2013 года</vt:lpstr>
      <vt:lpstr>июль-декабрь 2013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2015-06-01T07:20:30Z</dcterms:modified>
</cp:coreProperties>
</file>