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80" yWindow="4470" windowWidth="19320" windowHeight="4950"/>
  </bookViews>
  <sheets>
    <sheet name="Лист1" sheetId="1" r:id="rId1"/>
    <sheet name="Лист2" sheetId="2" r:id="rId2"/>
    <sheet name="Лист3" sheetId="3" r:id="rId3"/>
  </sheets>
  <definedNames>
    <definedName name="ф1">Лист2!$C$139</definedName>
    <definedName name="ф2">Лист2!$C$140</definedName>
    <definedName name="ф3">Лист2!$C$141</definedName>
    <definedName name="ф4">Лист2!$C$142</definedName>
  </definedNames>
  <calcPr calcId="125725"/>
</workbook>
</file>

<file path=xl/calcChain.xml><?xml version="1.0" encoding="utf-8"?>
<calcChain xmlns="http://schemas.openxmlformats.org/spreadsheetml/2006/main">
  <c r="U11" i="1"/>
  <c r="T11" l="1"/>
  <c r="S11"/>
  <c r="R11" l="1"/>
  <c r="Q11" l="1"/>
  <c r="K11" l="1"/>
  <c r="L11"/>
  <c r="M11"/>
  <c r="N11"/>
  <c r="O11"/>
  <c r="P11"/>
  <c r="J11" l="1"/>
  <c r="I11"/>
  <c r="H11" l="1"/>
  <c r="G11" l="1"/>
  <c r="F11" l="1"/>
  <c r="E11" l="1"/>
  <c r="C11" i="3" l="1"/>
  <c r="S159" i="2" l="1"/>
  <c r="C159"/>
  <c r="S158"/>
  <c r="C158"/>
  <c r="S157"/>
  <c r="C157"/>
  <c r="S156"/>
  <c r="C156"/>
  <c r="S155"/>
  <c r="S154"/>
  <c r="S153"/>
  <c r="S152"/>
  <c r="S151"/>
  <c r="S150"/>
  <c r="S149"/>
  <c r="S148"/>
  <c r="S146"/>
  <c r="S145"/>
  <c r="S144"/>
  <c r="S143"/>
  <c r="S142"/>
  <c r="C142"/>
  <c r="S141"/>
  <c r="C141"/>
  <c r="S140"/>
  <c r="C140"/>
  <c r="S139"/>
  <c r="C139"/>
  <c r="S138"/>
  <c r="B138"/>
  <c r="S137"/>
  <c r="S136"/>
  <c r="O136"/>
  <c r="O142" s="1"/>
  <c r="N136"/>
  <c r="N142" s="1"/>
  <c r="M136"/>
  <c r="F150" s="1"/>
  <c r="G150" s="1"/>
  <c r="L136"/>
  <c r="L142" s="1"/>
  <c r="K136"/>
  <c r="K142" s="1"/>
  <c r="J136"/>
  <c r="I136"/>
  <c r="I142" s="1"/>
  <c r="H136"/>
  <c r="H142" s="1"/>
  <c r="G136"/>
  <c r="F136"/>
  <c r="F142" s="1"/>
  <c r="E136"/>
  <c r="E142" s="1"/>
  <c r="D136"/>
  <c r="S135"/>
  <c r="S133"/>
  <c r="O133"/>
  <c r="O159" s="1"/>
  <c r="N133"/>
  <c r="N159" s="1"/>
  <c r="M133"/>
  <c r="M159" s="1"/>
  <c r="L133"/>
  <c r="L159" s="1"/>
  <c r="K133"/>
  <c r="K159" s="1"/>
  <c r="J133"/>
  <c r="J159" s="1"/>
  <c r="I133"/>
  <c r="I159" s="1"/>
  <c r="H133"/>
  <c r="H159" s="1"/>
  <c r="G133"/>
  <c r="G159" s="1"/>
  <c r="F133"/>
  <c r="F159" s="1"/>
  <c r="E133"/>
  <c r="E159" s="1"/>
  <c r="D133"/>
  <c r="D159" s="1"/>
  <c r="S132"/>
  <c r="S131"/>
  <c r="S130"/>
  <c r="S129"/>
  <c r="L129"/>
  <c r="P129" s="1"/>
  <c r="J129"/>
  <c r="O129" s="1"/>
  <c r="S128"/>
  <c r="L128"/>
  <c r="P128" s="1"/>
  <c r="J128"/>
  <c r="O128" s="1"/>
  <c r="S127"/>
  <c r="L127"/>
  <c r="P127" s="1"/>
  <c r="J127"/>
  <c r="O127" s="1"/>
  <c r="S126"/>
  <c r="L126"/>
  <c r="P126" s="1"/>
  <c r="J126"/>
  <c r="O126" s="1"/>
  <c r="S125"/>
  <c r="L125"/>
  <c r="P125" s="1"/>
  <c r="J125"/>
  <c r="O125" s="1"/>
  <c r="S124"/>
  <c r="S122"/>
  <c r="S121"/>
  <c r="S120"/>
  <c r="S119"/>
  <c r="F119"/>
  <c r="G119" s="1"/>
  <c r="S118"/>
  <c r="F118"/>
  <c r="G118" s="1"/>
  <c r="S117"/>
  <c r="L117"/>
  <c r="F117"/>
  <c r="G117" s="1"/>
  <c r="S116"/>
  <c r="F116"/>
  <c r="G116" s="1"/>
  <c r="S115"/>
  <c r="F115"/>
  <c r="G115" s="1"/>
  <c r="G120" s="1"/>
  <c r="S114"/>
  <c r="S113"/>
  <c r="U111"/>
  <c r="S111"/>
  <c r="U110"/>
  <c r="S110"/>
  <c r="U109"/>
  <c r="S109"/>
  <c r="J109"/>
  <c r="L109" s="1"/>
  <c r="M109" s="1"/>
  <c r="O109" s="1"/>
  <c r="U108"/>
  <c r="L108"/>
  <c r="M108" s="1"/>
  <c r="O108" s="1"/>
  <c r="U107"/>
  <c r="U112" s="1"/>
  <c r="S107"/>
  <c r="L107"/>
  <c r="L110" s="1"/>
  <c r="L111" s="1"/>
  <c r="F105"/>
  <c r="D105"/>
  <c r="AB97"/>
  <c r="AB98" s="1"/>
  <c r="AF96"/>
  <c r="AE96"/>
  <c r="H87"/>
  <c r="F83"/>
  <c r="F82"/>
  <c r="F81"/>
  <c r="F80"/>
  <c r="F79"/>
  <c r="F78"/>
  <c r="M73"/>
  <c r="AK72"/>
  <c r="AJ72"/>
  <c r="AI72"/>
  <c r="AG72"/>
  <c r="AE72"/>
  <c r="AD72"/>
  <c r="AB72"/>
  <c r="AA72"/>
  <c r="Y72"/>
  <c r="X72"/>
  <c r="V72"/>
  <c r="U72"/>
  <c r="S72"/>
  <c r="R72"/>
  <c r="E83" s="1"/>
  <c r="P72"/>
  <c r="G83" s="1"/>
  <c r="O72"/>
  <c r="M72"/>
  <c r="L72"/>
  <c r="J72"/>
  <c r="I72"/>
  <c r="G72"/>
  <c r="F72"/>
  <c r="D83" s="1"/>
  <c r="I83" s="1"/>
  <c r="D72"/>
  <c r="D73" s="1"/>
  <c r="C72"/>
  <c r="D70"/>
  <c r="N69"/>
  <c r="K69"/>
  <c r="F69"/>
  <c r="D69"/>
  <c r="AH67"/>
  <c r="AF67"/>
  <c r="AC67"/>
  <c r="Z67"/>
  <c r="W67"/>
  <c r="T67"/>
  <c r="R67"/>
  <c r="P67"/>
  <c r="N67"/>
  <c r="K67"/>
  <c r="K72" s="1"/>
  <c r="H67"/>
  <c r="F67"/>
  <c r="D67"/>
  <c r="M61"/>
  <c r="AK59"/>
  <c r="AK61" s="1"/>
  <c r="AJ59"/>
  <c r="AJ105" s="1"/>
  <c r="AI59"/>
  <c r="AI105" s="1"/>
  <c r="AG59"/>
  <c r="AE59"/>
  <c r="AD59"/>
  <c r="AB59"/>
  <c r="AA59"/>
  <c r="Y59"/>
  <c r="X59"/>
  <c r="V59"/>
  <c r="U59"/>
  <c r="S59"/>
  <c r="R59"/>
  <c r="E82" s="1"/>
  <c r="P59"/>
  <c r="G82" s="1"/>
  <c r="O59"/>
  <c r="M59"/>
  <c r="L59"/>
  <c r="J59"/>
  <c r="I59"/>
  <c r="G59"/>
  <c r="F59"/>
  <c r="D82" s="1"/>
  <c r="I82" s="1"/>
  <c r="D59"/>
  <c r="D60" s="1"/>
  <c r="C59"/>
  <c r="C105" s="1"/>
  <c r="D57"/>
  <c r="N56"/>
  <c r="K56"/>
  <c r="F56"/>
  <c r="D56"/>
  <c r="AH54"/>
  <c r="AF54"/>
  <c r="AC54"/>
  <c r="Z54"/>
  <c r="W54"/>
  <c r="T54"/>
  <c r="R54"/>
  <c r="P54"/>
  <c r="N54"/>
  <c r="K54"/>
  <c r="K59" s="1"/>
  <c r="H54"/>
  <c r="F54"/>
  <c r="D54"/>
  <c r="E54" s="1"/>
  <c r="M48"/>
  <c r="AJ46"/>
  <c r="AJ48" s="1"/>
  <c r="AI46"/>
  <c r="AI48" s="1"/>
  <c r="AG46"/>
  <c r="AE46"/>
  <c r="AD46"/>
  <c r="AB46"/>
  <c r="AA46"/>
  <c r="Y46"/>
  <c r="X46"/>
  <c r="V46"/>
  <c r="U46"/>
  <c r="S46"/>
  <c r="R46"/>
  <c r="P46"/>
  <c r="G81" s="1"/>
  <c r="O46"/>
  <c r="M46"/>
  <c r="L46"/>
  <c r="J46"/>
  <c r="I46"/>
  <c r="G46"/>
  <c r="F46"/>
  <c r="D81" s="1"/>
  <c r="I81" s="1"/>
  <c r="D46"/>
  <c r="C46"/>
  <c r="C48" s="1"/>
  <c r="D44"/>
  <c r="N43"/>
  <c r="K43"/>
  <c r="F43"/>
  <c r="D43"/>
  <c r="D42"/>
  <c r="AK41"/>
  <c r="AK46" s="1"/>
  <c r="AH41"/>
  <c r="AF41"/>
  <c r="AC41"/>
  <c r="Z41"/>
  <c r="W41"/>
  <c r="T41"/>
  <c r="R41"/>
  <c r="P41"/>
  <c r="N41"/>
  <c r="K41"/>
  <c r="K46" s="1"/>
  <c r="H41"/>
  <c r="F41"/>
  <c r="D41"/>
  <c r="E41" s="1"/>
  <c r="M35"/>
  <c r="M36" s="1"/>
  <c r="AK33"/>
  <c r="AJ33"/>
  <c r="AI33"/>
  <c r="AH33" s="1"/>
  <c r="AG33"/>
  <c r="AE33"/>
  <c r="AD33"/>
  <c r="AB33"/>
  <c r="AA33"/>
  <c r="Y33"/>
  <c r="X33"/>
  <c r="V33"/>
  <c r="U33"/>
  <c r="S33"/>
  <c r="R33"/>
  <c r="E80" s="1"/>
  <c r="P33"/>
  <c r="G80" s="1"/>
  <c r="O33"/>
  <c r="M33"/>
  <c r="L33"/>
  <c r="J33"/>
  <c r="I33"/>
  <c r="G33"/>
  <c r="F33"/>
  <c r="D80" s="1"/>
  <c r="I80" s="1"/>
  <c r="D33"/>
  <c r="C33"/>
  <c r="C35" s="1"/>
  <c r="D31"/>
  <c r="N30"/>
  <c r="K30"/>
  <c r="F30"/>
  <c r="D30"/>
  <c r="D29"/>
  <c r="AH28"/>
  <c r="AF28"/>
  <c r="AC28"/>
  <c r="Z28"/>
  <c r="W28"/>
  <c r="T28"/>
  <c r="R28"/>
  <c r="P28"/>
  <c r="N28"/>
  <c r="K28"/>
  <c r="K33" s="1"/>
  <c r="H28"/>
  <c r="F28"/>
  <c r="D28"/>
  <c r="M23"/>
  <c r="M24" s="1"/>
  <c r="AK22"/>
  <c r="AJ22"/>
  <c r="AI22"/>
  <c r="AG22"/>
  <c r="AE22"/>
  <c r="AD22"/>
  <c r="AB22"/>
  <c r="AA22"/>
  <c r="Y22"/>
  <c r="X22"/>
  <c r="V22"/>
  <c r="U22"/>
  <c r="S22"/>
  <c r="R22"/>
  <c r="E79" s="1"/>
  <c r="P22"/>
  <c r="G79" s="1"/>
  <c r="O22"/>
  <c r="M22"/>
  <c r="L22"/>
  <c r="J22"/>
  <c r="I22"/>
  <c r="G22"/>
  <c r="F22"/>
  <c r="D79" s="1"/>
  <c r="I79" s="1"/>
  <c r="D22"/>
  <c r="C22"/>
  <c r="E24" s="1"/>
  <c r="D20"/>
  <c r="N19"/>
  <c r="K19"/>
  <c r="F19"/>
  <c r="D19"/>
  <c r="D18"/>
  <c r="AH17"/>
  <c r="AF17"/>
  <c r="AC17"/>
  <c r="Z17"/>
  <c r="W17"/>
  <c r="T17"/>
  <c r="R17"/>
  <c r="P17"/>
  <c r="N17"/>
  <c r="K17"/>
  <c r="K22" s="1"/>
  <c r="H17"/>
  <c r="F17"/>
  <c r="D17"/>
  <c r="N13"/>
  <c r="N12"/>
  <c r="M12"/>
  <c r="M13" s="1"/>
  <c r="AK11"/>
  <c r="AJ11"/>
  <c r="AI11"/>
  <c r="AG11"/>
  <c r="AE11"/>
  <c r="AD11"/>
  <c r="AB11"/>
  <c r="AA11"/>
  <c r="Y11"/>
  <c r="X11"/>
  <c r="V11"/>
  <c r="U11"/>
  <c r="S11"/>
  <c r="R11"/>
  <c r="E78" s="1"/>
  <c r="P11"/>
  <c r="G78" s="1"/>
  <c r="O11"/>
  <c r="M11"/>
  <c r="L11"/>
  <c r="J11"/>
  <c r="I11"/>
  <c r="G11"/>
  <c r="F11"/>
  <c r="D78" s="1"/>
  <c r="I78" s="1"/>
  <c r="I84" s="1"/>
  <c r="I86" s="1"/>
  <c r="D11"/>
  <c r="C11"/>
  <c r="E13" s="1"/>
  <c r="D9"/>
  <c r="N8"/>
  <c r="K8"/>
  <c r="F8"/>
  <c r="D8"/>
  <c r="D7"/>
  <c r="AH6"/>
  <c r="AF6"/>
  <c r="AC6"/>
  <c r="Z6"/>
  <c r="W6"/>
  <c r="T6"/>
  <c r="R6"/>
  <c r="P6"/>
  <c r="Q6" s="1"/>
  <c r="N6"/>
  <c r="K6"/>
  <c r="K11" s="1"/>
  <c r="H6"/>
  <c r="I7" s="1"/>
  <c r="F6"/>
  <c r="D6"/>
  <c r="AH22" l="1"/>
  <c r="AH72"/>
  <c r="AH11"/>
  <c r="O13"/>
  <c r="E17"/>
  <c r="E19"/>
  <c r="E67"/>
  <c r="Q28"/>
  <c r="F149"/>
  <c r="G149" s="1"/>
  <c r="AL72"/>
  <c r="AM72" s="1"/>
  <c r="F148"/>
  <c r="G148" s="1"/>
  <c r="E6"/>
  <c r="E8"/>
  <c r="Q17"/>
  <c r="E28"/>
  <c r="E30"/>
  <c r="Q41"/>
  <c r="E43"/>
  <c r="Q54"/>
  <c r="E56"/>
  <c r="AH59"/>
  <c r="Q67"/>
  <c r="E69"/>
  <c r="F147"/>
  <c r="G147" s="1"/>
  <c r="D12"/>
  <c r="S112"/>
  <c r="AL11"/>
  <c r="AM13" s="1"/>
  <c r="D23"/>
  <c r="AL22"/>
  <c r="AM23" s="1"/>
  <c r="N36"/>
  <c r="O36"/>
  <c r="D34"/>
  <c r="AL33"/>
  <c r="AM35" s="1"/>
  <c r="D47"/>
  <c r="L112"/>
  <c r="S108"/>
  <c r="AK48"/>
  <c r="AH46"/>
  <c r="AB99"/>
  <c r="AF98"/>
  <c r="AE98"/>
  <c r="H78"/>
  <c r="E23"/>
  <c r="H79"/>
  <c r="H80"/>
  <c r="H82"/>
  <c r="H83"/>
  <c r="L7"/>
  <c r="F7" s="1"/>
  <c r="C13"/>
  <c r="S123"/>
  <c r="C23"/>
  <c r="F24"/>
  <c r="P24"/>
  <c r="R24"/>
  <c r="S134"/>
  <c r="S147"/>
  <c r="AL59"/>
  <c r="AM59" s="1"/>
  <c r="C60"/>
  <c r="B60" s="1"/>
  <c r="C61"/>
  <c r="F61"/>
  <c r="AI61"/>
  <c r="AJ61"/>
  <c r="E81"/>
  <c r="H81" s="1"/>
  <c r="AE97"/>
  <c r="AF97"/>
  <c r="M107"/>
  <c r="O107" s="1"/>
  <c r="O110" s="1"/>
  <c r="D138"/>
  <c r="E138"/>
  <c r="F138"/>
  <c r="G138"/>
  <c r="H138"/>
  <c r="I138"/>
  <c r="J138"/>
  <c r="K138"/>
  <c r="L138"/>
  <c r="M138"/>
  <c r="N138"/>
  <c r="O138"/>
  <c r="D139"/>
  <c r="E139"/>
  <c r="F139"/>
  <c r="G139"/>
  <c r="H139"/>
  <c r="I139"/>
  <c r="J139"/>
  <c r="K139"/>
  <c r="L139"/>
  <c r="M139"/>
  <c r="N139"/>
  <c r="O139"/>
  <c r="D140"/>
  <c r="E140"/>
  <c r="F140"/>
  <c r="G140"/>
  <c r="H140"/>
  <c r="I140"/>
  <c r="J140"/>
  <c r="K140"/>
  <c r="L140"/>
  <c r="M140"/>
  <c r="N140"/>
  <c r="O140"/>
  <c r="D141"/>
  <c r="E141"/>
  <c r="F141"/>
  <c r="G141"/>
  <c r="H141"/>
  <c r="I141"/>
  <c r="J141"/>
  <c r="K141"/>
  <c r="L141"/>
  <c r="M141"/>
  <c r="N141"/>
  <c r="O141"/>
  <c r="D142"/>
  <c r="G142"/>
  <c r="J142"/>
  <c r="M142"/>
  <c r="D155"/>
  <c r="E155"/>
  <c r="F155"/>
  <c r="G155"/>
  <c r="H155"/>
  <c r="I155"/>
  <c r="J155"/>
  <c r="K155"/>
  <c r="L155"/>
  <c r="M155"/>
  <c r="N155"/>
  <c r="O155"/>
  <c r="D156"/>
  <c r="E156"/>
  <c r="F156"/>
  <c r="G156"/>
  <c r="H156"/>
  <c r="I156"/>
  <c r="J156"/>
  <c r="K156"/>
  <c r="L156"/>
  <c r="M156"/>
  <c r="N156"/>
  <c r="O156"/>
  <c r="D157"/>
  <c r="E157"/>
  <c r="F157"/>
  <c r="G157"/>
  <c r="H157"/>
  <c r="I157"/>
  <c r="J157"/>
  <c r="K157"/>
  <c r="L157"/>
  <c r="M157"/>
  <c r="N157"/>
  <c r="O157"/>
  <c r="D158"/>
  <c r="E158"/>
  <c r="F158"/>
  <c r="G158"/>
  <c r="H158"/>
  <c r="I158"/>
  <c r="J158"/>
  <c r="K158"/>
  <c r="L158"/>
  <c r="M158"/>
  <c r="N158"/>
  <c r="O158"/>
  <c r="J150" l="1"/>
  <c r="M143"/>
  <c r="J149"/>
  <c r="J143"/>
  <c r="J148"/>
  <c r="G143"/>
  <c r="J147"/>
  <c r="D143"/>
  <c r="AB100"/>
  <c r="AF99"/>
  <c r="AE99"/>
  <c r="AH48"/>
  <c r="AL46"/>
  <c r="AM46" s="1"/>
  <c r="O160"/>
  <c r="N160"/>
  <c r="M160"/>
  <c r="L160"/>
  <c r="K160"/>
  <c r="J160"/>
  <c r="I160"/>
  <c r="H160"/>
  <c r="G160"/>
  <c r="F160"/>
  <c r="E160"/>
  <c r="D160"/>
  <c r="O143"/>
  <c r="N143"/>
  <c r="L143"/>
  <c r="K143"/>
  <c r="I143"/>
  <c r="H143"/>
  <c r="F143"/>
  <c r="E143"/>
  <c r="H84"/>
  <c r="D164" l="1"/>
  <c r="E164" s="1"/>
  <c r="D166"/>
  <c r="E166" s="1"/>
  <c r="D165"/>
  <c r="E165" s="1"/>
  <c r="D167"/>
  <c r="E167" s="1"/>
  <c r="AB101"/>
  <c r="AF100"/>
  <c r="AE100"/>
  <c r="D147"/>
  <c r="H147" s="1"/>
  <c r="D148"/>
  <c r="H148" s="1"/>
  <c r="D149"/>
  <c r="H149" s="1"/>
  <c r="D150"/>
  <c r="H150" s="1"/>
  <c r="AB102" l="1"/>
  <c r="AF101"/>
  <c r="AE101"/>
  <c r="AB103" l="1"/>
  <c r="AF102"/>
  <c r="AE102"/>
  <c r="AB104" l="1"/>
  <c r="AF103"/>
  <c r="AE103"/>
  <c r="AB105" l="1"/>
  <c r="AF104"/>
  <c r="AE104"/>
  <c r="AB106" l="1"/>
  <c r="AF105"/>
  <c r="AE105"/>
  <c r="AB107" l="1"/>
  <c r="AF106"/>
  <c r="AE106"/>
  <c r="AB108" l="1"/>
  <c r="AF107"/>
  <c r="AE107"/>
  <c r="AB109" l="1"/>
  <c r="AF108"/>
  <c r="AE108"/>
  <c r="AB110" l="1"/>
  <c r="AF109"/>
  <c r="AE109"/>
  <c r="AB111" l="1"/>
  <c r="AF110"/>
  <c r="AE110"/>
  <c r="AB112" l="1"/>
  <c r="AF111"/>
  <c r="AE111"/>
  <c r="AB113" l="1"/>
  <c r="AF112"/>
  <c r="AE112"/>
  <c r="AB114" l="1"/>
  <c r="AF113"/>
  <c r="AE113"/>
  <c r="AB115" l="1"/>
  <c r="AF114"/>
  <c r="AE114"/>
  <c r="AB116" l="1"/>
  <c r="AF115"/>
  <c r="AE115"/>
  <c r="AB117" l="1"/>
  <c r="AF116"/>
  <c r="AE116"/>
  <c r="AB118" l="1"/>
  <c r="AF117"/>
  <c r="AE117"/>
  <c r="AB119" l="1"/>
  <c r="AF118"/>
  <c r="AE118"/>
  <c r="AB120" l="1"/>
  <c r="AF119"/>
  <c r="AG119" s="1"/>
  <c r="AE119"/>
  <c r="AG120" s="1"/>
  <c r="AB121" l="1"/>
  <c r="AF120"/>
  <c r="AE120"/>
  <c r="AB122" l="1"/>
  <c r="AF121"/>
  <c r="AE121"/>
  <c r="AB123" l="1"/>
  <c r="AF122"/>
  <c r="AE122"/>
  <c r="AB124" l="1"/>
  <c r="AF123"/>
  <c r="AE123"/>
  <c r="AB125" l="1"/>
  <c r="AF124"/>
  <c r="AE124"/>
  <c r="AB126" l="1"/>
  <c r="AF125"/>
  <c r="AE125"/>
  <c r="AB127" l="1"/>
  <c r="AF126"/>
  <c r="AE126"/>
  <c r="AB128" l="1"/>
  <c r="AF127"/>
  <c r="AE127"/>
  <c r="AB129" l="1"/>
  <c r="AF128"/>
  <c r="AE128"/>
  <c r="AB130" l="1"/>
  <c r="AF129"/>
  <c r="AE129"/>
  <c r="AB131" l="1"/>
  <c r="AF130"/>
  <c r="AE130"/>
  <c r="AF131" l="1"/>
  <c r="AF132" s="1"/>
  <c r="AE131"/>
  <c r="AE132" s="1"/>
  <c r="AF133" l="1"/>
</calcChain>
</file>

<file path=xl/sharedStrings.xml><?xml version="1.0" encoding="utf-8"?>
<sst xmlns="http://schemas.openxmlformats.org/spreadsheetml/2006/main" count="497" uniqueCount="103">
  <si>
    <t>Ед. изм.</t>
  </si>
  <si>
    <t>май</t>
  </si>
  <si>
    <t>июнь</t>
  </si>
  <si>
    <t>июль</t>
  </si>
  <si>
    <t>август</t>
  </si>
  <si>
    <t>МВт</t>
  </si>
  <si>
    <t xml:space="preserve"> (п. 22 Постановления Правительства РФ от 21.01.2004 № 24 "Стандарты раскрытия информации субъектами оптового и розничного рынков электрической энергии")</t>
  </si>
  <si>
    <t>период</t>
  </si>
  <si>
    <t>Э/Э</t>
  </si>
  <si>
    <t>Мощность</t>
  </si>
  <si>
    <t>Инфраструктурные платежи</t>
  </si>
  <si>
    <t>Стоимость-
ВСЕГО</t>
  </si>
  <si>
    <t>Итого</t>
  </si>
  <si>
    <t>РД</t>
  </si>
  <si>
    <t>РСВ</t>
  </si>
  <si>
    <t>БР</t>
  </si>
  <si>
    <t>ДПМ</t>
  </si>
  <si>
    <t>ДПМ-аэс/гэс</t>
  </si>
  <si>
    <t>КОМ</t>
  </si>
  <si>
    <t>ВР</t>
  </si>
  <si>
    <t>итого</t>
  </si>
  <si>
    <t>ОАО "АТС"-организация оптовой торговли</t>
  </si>
  <si>
    <t>ЗАО "ЦФР"-комплексная услуга</t>
  </si>
  <si>
    <t>Услуга СО ЕЭС</t>
  </si>
  <si>
    <t>Объем</t>
  </si>
  <si>
    <t>цена</t>
  </si>
  <si>
    <t>Стоимость</t>
  </si>
  <si>
    <t>Покупка</t>
  </si>
  <si>
    <t>в т.ч. Нагр.потери</t>
  </si>
  <si>
    <t>Продажа</t>
  </si>
  <si>
    <t>Потребление</t>
  </si>
  <si>
    <t>Э/э руб</t>
  </si>
  <si>
    <t>P руб</t>
  </si>
  <si>
    <t>Э/Э квт</t>
  </si>
  <si>
    <t>P Мвт</t>
  </si>
  <si>
    <t>P цена</t>
  </si>
  <si>
    <t>Э/Э цена</t>
  </si>
  <si>
    <t>апр</t>
  </si>
  <si>
    <t>июн</t>
  </si>
  <si>
    <t>июл</t>
  </si>
  <si>
    <t>авг</t>
  </si>
  <si>
    <t>сен</t>
  </si>
  <si>
    <t>янв</t>
  </si>
  <si>
    <t>фев</t>
  </si>
  <si>
    <t>мар</t>
  </si>
  <si>
    <t>окт</t>
  </si>
  <si>
    <t>служебка в ФЭО</t>
  </si>
  <si>
    <t>ноя</t>
  </si>
  <si>
    <t>дек</t>
  </si>
  <si>
    <t xml:space="preserve">нояб </t>
  </si>
  <si>
    <t>факт</t>
  </si>
  <si>
    <t>юг</t>
  </si>
  <si>
    <t>пок</t>
  </si>
  <si>
    <t>8 гтп</t>
  </si>
  <si>
    <t>7 гтп</t>
  </si>
  <si>
    <t>цена кВт</t>
  </si>
  <si>
    <t>стоимость кВт</t>
  </si>
  <si>
    <t>цфр</t>
  </si>
  <si>
    <t>атс</t>
  </si>
  <si>
    <t>со</t>
  </si>
  <si>
    <t>восток</t>
  </si>
  <si>
    <t>7 Гтп</t>
  </si>
  <si>
    <t>1 квт</t>
  </si>
  <si>
    <t>2 квт</t>
  </si>
  <si>
    <t>3 квт</t>
  </si>
  <si>
    <t>4 квт</t>
  </si>
  <si>
    <t>1.1</t>
  </si>
  <si>
    <t>1.2</t>
  </si>
  <si>
    <t xml:space="preserve"> регулируемый сектор</t>
  </si>
  <si>
    <t xml:space="preserve"> сектор свободной торговли</t>
  </si>
  <si>
    <t>Объем электрической энергии покупаемой на оптовом рынке в т.ч.</t>
  </si>
  <si>
    <t>Объем  мощности, приобретенной на оптовом рынке по регулируемым договорам</t>
  </si>
  <si>
    <t>КВтч</t>
  </si>
  <si>
    <t>Наименование показателя</t>
  </si>
  <si>
    <t>Объем электрической энергии (мощности), покупаемой на оптовом рынке,</t>
  </si>
  <si>
    <t>Объем фактического пикового потребления мощности на оптовом рынке</t>
  </si>
  <si>
    <t xml:space="preserve">Ежемесячный отчет по объему фактического пикового потребления мощности, купленному на оптовом рынке </t>
  </si>
  <si>
    <t>Участник:</t>
  </si>
  <si>
    <t>ОАО "ЮТЭК"</t>
  </si>
  <si>
    <t>Регион РФ:</t>
  </si>
  <si>
    <t>Тюменская область</t>
  </si>
  <si>
    <t>Отчетный период:</t>
  </si>
  <si>
    <t>С 01.12.2011 по 31.12.2011</t>
  </si>
  <si>
    <t>Месяц</t>
  </si>
  <si>
    <t>Код ГТП</t>
  </si>
  <si>
    <t>Объем фактического пикового потребления мощности, купленный на оптовом рынке, МВт</t>
  </si>
  <si>
    <t xml:space="preserve">декабрь </t>
  </si>
  <si>
    <t>PUTEREK3</t>
  </si>
  <si>
    <t>PUTEREK5</t>
  </si>
  <si>
    <t>PUTEREK6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</si>
  <si>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</si>
  <si>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</si>
  <si>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</si>
  <si>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</si>
  <si>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</si>
  <si>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</si>
  <si>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</si>
  <si>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</si>
  <si>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</si>
  <si>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</si>
  <si>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</si>
  <si>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</si>
  <si>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 в секторе свободной торговли и регулируемом секторе в 2014г.</t>
  </si>
</sst>
</file>

<file path=xl/styles.xml><?xml version="1.0" encoding="utf-8"?>
<styleSheet xmlns="http://schemas.openxmlformats.org/spreadsheetml/2006/main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_-* #,##0.000_р_._-;\-* #,##0.000_р_._-;_-* &quot;-&quot;??_р_._-;_-@_-"/>
    <numFmt numFmtId="167" formatCode="#,##0.000"/>
    <numFmt numFmtId="168" formatCode="0.00000"/>
    <numFmt numFmtId="169" formatCode="#,##0.00000"/>
    <numFmt numFmtId="170" formatCode="#,##0_ ;\-#,##0\ "/>
    <numFmt numFmtId="171" formatCode="#,##0.000_ ;\-#,##0.000\ "/>
    <numFmt numFmtId="172" formatCode="#,##0.000000"/>
    <numFmt numFmtId="173" formatCode="0.000"/>
    <numFmt numFmtId="174" formatCode="0.000000000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FF0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.5"/>
      <color theme="1"/>
      <name val="Courier New"/>
      <family val="3"/>
      <charset val="204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Tahoma"/>
      <family val="2"/>
      <charset val="204"/>
    </font>
    <font>
      <sz val="10"/>
      <color theme="1"/>
      <name val="Arial"/>
      <family val="2"/>
      <charset val="204"/>
    </font>
    <font>
      <sz val="11"/>
      <name val="Garamond"/>
      <family val="1"/>
      <charset val="204"/>
    </font>
    <font>
      <sz val="10"/>
      <name val="Garamond"/>
      <family val="1"/>
      <charset val="204"/>
    </font>
    <font>
      <b/>
      <sz val="12"/>
      <name val="Garamond"/>
      <family val="1"/>
      <charset val="204"/>
    </font>
    <font>
      <b/>
      <sz val="10"/>
      <name val="Garamond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47" fillId="0" borderId="0"/>
    <xf numFmtId="0" fontId="48" fillId="0" borderId="0">
      <alignment horizontal="left"/>
    </xf>
    <xf numFmtId="0" fontId="49" fillId="0" borderId="0"/>
    <xf numFmtId="0" fontId="48" fillId="0" borderId="0">
      <alignment horizontal="left"/>
    </xf>
    <xf numFmtId="165" fontId="47" fillId="0" borderId="0" applyFont="0" applyFill="0" applyBorder="0" applyAlignment="0" applyProtection="0"/>
    <xf numFmtId="0" fontId="48" fillId="0" borderId="0">
      <alignment horizontal="left"/>
    </xf>
    <xf numFmtId="165" fontId="47" fillId="0" borderId="0" applyFont="0" applyFill="0" applyBorder="0" applyAlignment="0" applyProtection="0"/>
  </cellStyleXfs>
  <cellXfs count="3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0" fillId="0" borderId="10" xfId="0" applyBorder="1"/>
    <xf numFmtId="0" fontId="26" fillId="0" borderId="1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/>
    </xf>
    <xf numFmtId="4" fontId="0" fillId="28" borderId="18" xfId="0" applyNumberFormat="1" applyFill="1" applyBorder="1" applyAlignment="1">
      <alignment horizontal="right"/>
    </xf>
    <xf numFmtId="4" fontId="27" fillId="28" borderId="38" xfId="0" applyNumberFormat="1" applyFont="1" applyFill="1" applyBorder="1" applyAlignment="1">
      <alignment horizontal="right" wrapText="1"/>
    </xf>
    <xf numFmtId="4" fontId="0" fillId="28" borderId="37" xfId="0" applyNumberFormat="1" applyFill="1" applyBorder="1" applyAlignment="1">
      <alignment horizontal="right"/>
    </xf>
    <xf numFmtId="4" fontId="27" fillId="28" borderId="17" xfId="0" applyNumberFormat="1" applyFont="1" applyFill="1" applyBorder="1" applyAlignment="1">
      <alignment horizontal="right" wrapText="1"/>
    </xf>
    <xf numFmtId="4" fontId="27" fillId="28" borderId="37" xfId="0" applyNumberFormat="1" applyFont="1" applyFill="1" applyBorder="1" applyAlignment="1">
      <alignment horizontal="right" wrapText="1"/>
    </xf>
    <xf numFmtId="4" fontId="27" fillId="28" borderId="19" xfId="0" applyNumberFormat="1" applyFont="1" applyFill="1" applyBorder="1" applyAlignment="1">
      <alignment horizontal="right" wrapText="1"/>
    </xf>
    <xf numFmtId="4" fontId="28" fillId="28" borderId="38" xfId="0" applyNumberFormat="1" applyFont="1" applyFill="1" applyBorder="1" applyAlignment="1">
      <alignment horizontal="right" wrapText="1"/>
    </xf>
    <xf numFmtId="4" fontId="27" fillId="28" borderId="18" xfId="0" applyNumberFormat="1" applyFont="1" applyFill="1" applyBorder="1" applyAlignment="1">
      <alignment horizontal="right" wrapText="1"/>
    </xf>
    <xf numFmtId="167" fontId="27" fillId="28" borderId="17" xfId="0" applyNumberFormat="1" applyFont="1" applyFill="1" applyBorder="1" applyAlignment="1">
      <alignment horizontal="right" wrapText="1"/>
    </xf>
    <xf numFmtId="4" fontId="27" fillId="28" borderId="39" xfId="0" applyNumberFormat="1" applyFont="1" applyFill="1" applyBorder="1" applyAlignment="1">
      <alignment horizontal="right" wrapText="1"/>
    </xf>
    <xf numFmtId="167" fontId="27" fillId="28" borderId="18" xfId="0" applyNumberFormat="1" applyFont="1" applyFill="1" applyBorder="1" applyAlignment="1">
      <alignment horizontal="right" wrapText="1"/>
    </xf>
    <xf numFmtId="4" fontId="27" fillId="28" borderId="24" xfId="0" applyNumberFormat="1" applyFont="1" applyFill="1" applyBorder="1" applyAlignment="1">
      <alignment horizontal="right" wrapText="1"/>
    </xf>
    <xf numFmtId="4" fontId="27" fillId="28" borderId="10" xfId="0" applyNumberFormat="1" applyFont="1" applyFill="1" applyBorder="1" applyAlignment="1">
      <alignment horizontal="right" wrapText="1"/>
    </xf>
    <xf numFmtId="4" fontId="27" fillId="28" borderId="14" xfId="0" applyNumberFormat="1" applyFont="1" applyFill="1" applyBorder="1" applyAlignment="1">
      <alignment horizontal="right" wrapText="1"/>
    </xf>
    <xf numFmtId="0" fontId="0" fillId="25" borderId="10" xfId="0" applyFill="1" applyBorder="1"/>
    <xf numFmtId="0" fontId="26" fillId="0" borderId="10" xfId="0" applyFont="1" applyBorder="1" applyAlignment="1">
      <alignment wrapText="1"/>
    </xf>
    <xf numFmtId="4" fontId="27" fillId="0" borderId="18" xfId="0" applyNumberFormat="1" applyFont="1" applyBorder="1" applyAlignment="1">
      <alignment horizontal="right"/>
    </xf>
    <xf numFmtId="4" fontId="27" fillId="0" borderId="24" xfId="0" applyNumberFormat="1" applyFont="1" applyBorder="1" applyAlignment="1">
      <alignment horizontal="right"/>
    </xf>
    <xf numFmtId="4" fontId="27" fillId="0" borderId="37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 horizontal="right" wrapText="1"/>
    </xf>
    <xf numFmtId="4" fontId="27" fillId="0" borderId="38" xfId="0" applyNumberFormat="1" applyFont="1" applyBorder="1" applyAlignment="1">
      <alignment horizontal="right" wrapText="1"/>
    </xf>
    <xf numFmtId="4" fontId="27" fillId="0" borderId="37" xfId="0" applyNumberFormat="1" applyFont="1" applyBorder="1" applyAlignment="1">
      <alignment horizontal="right" wrapText="1"/>
    </xf>
    <xf numFmtId="0" fontId="27" fillId="0" borderId="38" xfId="0" applyNumberFormat="1" applyFont="1" applyBorder="1" applyAlignment="1">
      <alignment horizontal="right" wrapText="1"/>
    </xf>
    <xf numFmtId="4" fontId="27" fillId="0" borderId="19" xfId="0" applyNumberFormat="1" applyFont="1" applyBorder="1" applyAlignment="1">
      <alignment horizontal="right" wrapText="1"/>
    </xf>
    <xf numFmtId="4" fontId="27" fillId="0" borderId="18" xfId="0" applyNumberFormat="1" applyFont="1" applyBorder="1" applyAlignment="1">
      <alignment horizontal="right" wrapText="1"/>
    </xf>
    <xf numFmtId="4" fontId="27" fillId="0" borderId="39" xfId="0" applyNumberFormat="1" applyFont="1" applyBorder="1" applyAlignment="1">
      <alignment horizontal="right" wrapText="1"/>
    </xf>
    <xf numFmtId="4" fontId="27" fillId="0" borderId="24" xfId="0" applyNumberFormat="1" applyFont="1" applyBorder="1" applyAlignment="1">
      <alignment horizontal="right" wrapText="1"/>
    </xf>
    <xf numFmtId="4" fontId="27" fillId="0" borderId="10" xfId="0" applyNumberFormat="1" applyFont="1" applyBorder="1" applyAlignment="1">
      <alignment horizontal="right" wrapText="1"/>
    </xf>
    <xf numFmtId="4" fontId="27" fillId="0" borderId="14" xfId="0" applyNumberFormat="1" applyFont="1" applyBorder="1" applyAlignment="1">
      <alignment horizontal="right" wrapText="1"/>
    </xf>
    <xf numFmtId="0" fontId="27" fillId="25" borderId="10" xfId="0" applyFont="1" applyFill="1" applyBorder="1"/>
    <xf numFmtId="0" fontId="25" fillId="29" borderId="10" xfId="0" applyFont="1" applyFill="1" applyBorder="1" applyAlignment="1">
      <alignment horizontal="center" vertical="center"/>
    </xf>
    <xf numFmtId="4" fontId="0" fillId="29" borderId="18" xfId="0" applyNumberFormat="1" applyFill="1" applyBorder="1" applyAlignment="1">
      <alignment horizontal="right"/>
    </xf>
    <xf numFmtId="4" fontId="27" fillId="29" borderId="38" xfId="0" applyNumberFormat="1" applyFont="1" applyFill="1" applyBorder="1" applyAlignment="1">
      <alignment horizontal="right" wrapText="1"/>
    </xf>
    <xf numFmtId="4" fontId="0" fillId="29" borderId="37" xfId="0" applyNumberFormat="1" applyFill="1" applyBorder="1" applyAlignment="1">
      <alignment horizontal="right"/>
    </xf>
    <xf numFmtId="4" fontId="27" fillId="29" borderId="17" xfId="0" applyNumberFormat="1" applyFont="1" applyFill="1" applyBorder="1" applyAlignment="1">
      <alignment horizontal="right" wrapText="1"/>
    </xf>
    <xf numFmtId="4" fontId="27" fillId="29" borderId="37" xfId="0" applyNumberFormat="1" applyFont="1" applyFill="1" applyBorder="1" applyAlignment="1">
      <alignment horizontal="right" wrapText="1"/>
    </xf>
    <xf numFmtId="4" fontId="27" fillId="29" borderId="14" xfId="0" applyNumberFormat="1" applyFont="1" applyFill="1" applyBorder="1" applyAlignment="1">
      <alignment horizontal="right" wrapText="1"/>
    </xf>
    <xf numFmtId="4" fontId="27" fillId="29" borderId="19" xfId="0" applyNumberFormat="1" applyFont="1" applyFill="1" applyBorder="1" applyAlignment="1">
      <alignment horizontal="right" wrapText="1"/>
    </xf>
    <xf numFmtId="4" fontId="27" fillId="29" borderId="18" xfId="0" applyNumberFormat="1" applyFont="1" applyFill="1" applyBorder="1" applyAlignment="1">
      <alignment horizontal="right" wrapText="1"/>
    </xf>
    <xf numFmtId="4" fontId="27" fillId="29" borderId="39" xfId="0" applyNumberFormat="1" applyFont="1" applyFill="1" applyBorder="1" applyAlignment="1">
      <alignment horizontal="right" wrapText="1"/>
    </xf>
    <xf numFmtId="4" fontId="27" fillId="29" borderId="24" xfId="0" applyNumberFormat="1" applyFont="1" applyFill="1" applyBorder="1" applyAlignment="1">
      <alignment horizontal="right" wrapText="1"/>
    </xf>
    <xf numFmtId="4" fontId="27" fillId="29" borderId="10" xfId="0" applyNumberFormat="1" applyFont="1" applyFill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37" xfId="0" applyBorder="1"/>
    <xf numFmtId="0" fontId="0" fillId="0" borderId="17" xfId="0" applyBorder="1"/>
    <xf numFmtId="0" fontId="0" fillId="0" borderId="38" xfId="0" applyBorder="1"/>
    <xf numFmtId="4" fontId="0" fillId="0" borderId="17" xfId="0" applyNumberFormat="1" applyBorder="1"/>
    <xf numFmtId="0" fontId="0" fillId="0" borderId="19" xfId="0" applyBorder="1"/>
    <xf numFmtId="0" fontId="0" fillId="0" borderId="24" xfId="0" applyBorder="1"/>
    <xf numFmtId="0" fontId="0" fillId="0" borderId="18" xfId="0" applyBorder="1"/>
    <xf numFmtId="0" fontId="0" fillId="0" borderId="39" xfId="0" applyBorder="1"/>
    <xf numFmtId="0" fontId="0" fillId="0" borderId="14" xfId="0" applyBorder="1"/>
    <xf numFmtId="0" fontId="0" fillId="0" borderId="36" xfId="0" applyBorder="1"/>
    <xf numFmtId="0" fontId="0" fillId="0" borderId="40" xfId="0" applyBorder="1"/>
    <xf numFmtId="0" fontId="0" fillId="0" borderId="26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27" xfId="0" applyBorder="1"/>
    <xf numFmtId="0" fontId="0" fillId="0" borderId="44" xfId="0" applyBorder="1"/>
    <xf numFmtId="0" fontId="0" fillId="0" borderId="45" xfId="0" applyBorder="1"/>
    <xf numFmtId="0" fontId="0" fillId="25" borderId="36" xfId="0" applyFill="1" applyBorder="1"/>
    <xf numFmtId="0" fontId="0" fillId="30" borderId="25" xfId="0" applyFill="1" applyBorder="1"/>
    <xf numFmtId="4" fontId="0" fillId="30" borderId="25" xfId="0" applyNumberFormat="1" applyFill="1" applyBorder="1"/>
    <xf numFmtId="4" fontId="0" fillId="30" borderId="46" xfId="0" applyNumberFormat="1" applyFill="1" applyBorder="1"/>
    <xf numFmtId="4" fontId="0" fillId="30" borderId="47" xfId="0" applyNumberFormat="1" applyFill="1" applyBorder="1"/>
    <xf numFmtId="4" fontId="0" fillId="30" borderId="48" xfId="0" applyNumberFormat="1" applyFill="1" applyBorder="1"/>
    <xf numFmtId="4" fontId="0" fillId="30" borderId="49" xfId="0" applyNumberFormat="1" applyFill="1" applyBorder="1"/>
    <xf numFmtId="4" fontId="0" fillId="30" borderId="50" xfId="0" applyNumberFormat="1" applyFill="1" applyBorder="1"/>
    <xf numFmtId="4" fontId="0" fillId="30" borderId="51" xfId="0" applyNumberFormat="1" applyFill="1" applyBorder="1"/>
    <xf numFmtId="4" fontId="0" fillId="30" borderId="52" xfId="0" applyNumberFormat="1" applyFill="1" applyBorder="1"/>
    <xf numFmtId="4" fontId="25" fillId="25" borderId="25" xfId="0" applyNumberFormat="1" applyFont="1" applyFill="1" applyBorder="1"/>
    <xf numFmtId="4" fontId="29" fillId="31" borderId="38" xfId="0" applyNumberFormat="1" applyFont="1" applyFill="1" applyBorder="1"/>
    <xf numFmtId="4" fontId="0" fillId="0" borderId="38" xfId="0" applyNumberFormat="1" applyBorder="1"/>
    <xf numFmtId="168" fontId="0" fillId="0" borderId="38" xfId="0" applyNumberFormat="1" applyBorder="1"/>
    <xf numFmtId="0" fontId="0" fillId="0" borderId="22" xfId="0" applyBorder="1"/>
    <xf numFmtId="0" fontId="0" fillId="0" borderId="53" xfId="0" applyBorder="1"/>
    <xf numFmtId="4" fontId="30" fillId="0" borderId="53" xfId="0" applyNumberFormat="1" applyFont="1" applyBorder="1"/>
    <xf numFmtId="4" fontId="0" fillId="0" borderId="53" xfId="0" applyNumberFormat="1" applyBorder="1"/>
    <xf numFmtId="168" fontId="0" fillId="0" borderId="53" xfId="0" applyNumberFormat="1" applyBorder="1"/>
    <xf numFmtId="169" fontId="0" fillId="0" borderId="53" xfId="0" applyNumberFormat="1" applyBorder="1"/>
    <xf numFmtId="0" fontId="0" fillId="0" borderId="23" xfId="0" applyBorder="1"/>
    <xf numFmtId="0" fontId="25" fillId="0" borderId="3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4" fontId="25" fillId="25" borderId="10" xfId="0" applyNumberFormat="1" applyFont="1" applyFill="1" applyBorder="1"/>
    <xf numFmtId="0" fontId="0" fillId="30" borderId="12" xfId="0" applyFill="1" applyBorder="1"/>
    <xf numFmtId="4" fontId="0" fillId="30" borderId="12" xfId="0" applyNumberFormat="1" applyFill="1" applyBorder="1"/>
    <xf numFmtId="4" fontId="0" fillId="30" borderId="20" xfId="0" applyNumberFormat="1" applyFill="1" applyBorder="1"/>
    <xf numFmtId="4" fontId="0" fillId="30" borderId="56" xfId="0" applyNumberFormat="1" applyFill="1" applyBorder="1"/>
    <xf numFmtId="4" fontId="0" fillId="30" borderId="23" xfId="0" applyNumberFormat="1" applyFill="1" applyBorder="1"/>
    <xf numFmtId="4" fontId="0" fillId="30" borderId="22" xfId="0" applyNumberFormat="1" applyFill="1" applyBorder="1"/>
    <xf numFmtId="4" fontId="0" fillId="30" borderId="53" xfId="0" applyNumberFormat="1" applyFill="1" applyBorder="1"/>
    <xf numFmtId="4" fontId="0" fillId="30" borderId="21" xfId="0" applyNumberFormat="1" applyFill="1" applyBorder="1"/>
    <xf numFmtId="4" fontId="0" fillId="30" borderId="57" xfId="0" applyNumberFormat="1" applyFill="1" applyBorder="1"/>
    <xf numFmtId="4" fontId="0" fillId="30" borderId="13" xfId="0" applyNumberFormat="1" applyFill="1" applyBorder="1"/>
    <xf numFmtId="4" fontId="25" fillId="25" borderId="12" xfId="0" applyNumberFormat="1" applyFont="1" applyFill="1" applyBorder="1"/>
    <xf numFmtId="4" fontId="0" fillId="0" borderId="0" xfId="0" applyNumberFormat="1"/>
    <xf numFmtId="0" fontId="31" fillId="0" borderId="0" xfId="0" applyFont="1"/>
    <xf numFmtId="170" fontId="20" fillId="0" borderId="38" xfId="41" applyNumberFormat="1" applyFont="1" applyBorder="1" applyAlignment="1">
      <alignment horizontal="right" wrapText="1"/>
    </xf>
    <xf numFmtId="4" fontId="31" fillId="0" borderId="0" xfId="0" applyNumberFormat="1" applyFont="1"/>
    <xf numFmtId="4" fontId="32" fillId="28" borderId="17" xfId="0" applyNumberFormat="1" applyFont="1" applyFill="1" applyBorder="1" applyAlignment="1">
      <alignment horizontal="right" wrapText="1"/>
    </xf>
    <xf numFmtId="4" fontId="32" fillId="28" borderId="38" xfId="0" applyNumberFormat="1" applyFont="1" applyFill="1" applyBorder="1" applyAlignment="1">
      <alignment horizontal="right" wrapText="1"/>
    </xf>
    <xf numFmtId="4" fontId="32" fillId="28" borderId="37" xfId="0" applyNumberFormat="1" applyFont="1" applyFill="1" applyBorder="1" applyAlignment="1">
      <alignment horizontal="right" wrapText="1"/>
    </xf>
    <xf numFmtId="4" fontId="32" fillId="28" borderId="19" xfId="0" applyNumberFormat="1" applyFont="1" applyFill="1" applyBorder="1" applyAlignment="1">
      <alignment horizontal="right" wrapText="1"/>
    </xf>
    <xf numFmtId="4" fontId="33" fillId="28" borderId="38" xfId="0" applyNumberFormat="1" applyFont="1" applyFill="1" applyBorder="1" applyAlignment="1">
      <alignment horizontal="right" wrapText="1"/>
    </xf>
    <xf numFmtId="4" fontId="32" fillId="28" borderId="18" xfId="0" applyNumberFormat="1" applyFont="1" applyFill="1" applyBorder="1" applyAlignment="1">
      <alignment horizontal="right" wrapText="1"/>
    </xf>
    <xf numFmtId="167" fontId="32" fillId="28" borderId="18" xfId="0" applyNumberFormat="1" applyFont="1" applyFill="1" applyBorder="1" applyAlignment="1">
      <alignment horizontal="right" wrapText="1"/>
    </xf>
    <xf numFmtId="4" fontId="32" fillId="28" borderId="39" xfId="0" applyNumberFormat="1" applyFont="1" applyFill="1" applyBorder="1" applyAlignment="1">
      <alignment horizontal="right" wrapText="1"/>
    </xf>
    <xf numFmtId="4" fontId="32" fillId="28" borderId="10" xfId="0" applyNumberFormat="1" applyFont="1" applyFill="1" applyBorder="1" applyAlignment="1">
      <alignment horizontal="right" wrapText="1"/>
    </xf>
    <xf numFmtId="4" fontId="32" fillId="28" borderId="14" xfId="0" applyNumberFormat="1" applyFont="1" applyFill="1" applyBorder="1" applyAlignment="1">
      <alignment horizontal="right" wrapText="1"/>
    </xf>
    <xf numFmtId="4" fontId="32" fillId="0" borderId="17" xfId="0" applyNumberFormat="1" applyFont="1" applyBorder="1" applyAlignment="1">
      <alignment horizontal="right" wrapText="1"/>
    </xf>
    <xf numFmtId="4" fontId="32" fillId="0" borderId="38" xfId="0" applyNumberFormat="1" applyFont="1" applyBorder="1" applyAlignment="1">
      <alignment horizontal="right" wrapText="1"/>
    </xf>
    <xf numFmtId="4" fontId="32" fillId="0" borderId="37" xfId="0" applyNumberFormat="1" applyFont="1" applyBorder="1" applyAlignment="1">
      <alignment horizontal="right" wrapText="1"/>
    </xf>
    <xf numFmtId="0" fontId="32" fillId="0" borderId="38" xfId="0" applyNumberFormat="1" applyFont="1" applyBorder="1" applyAlignment="1">
      <alignment horizontal="right" wrapText="1"/>
    </xf>
    <xf numFmtId="4" fontId="32" fillId="0" borderId="19" xfId="0" applyNumberFormat="1" applyFont="1" applyBorder="1" applyAlignment="1">
      <alignment horizontal="right" wrapText="1"/>
    </xf>
    <xf numFmtId="4" fontId="32" fillId="0" borderId="18" xfId="0" applyNumberFormat="1" applyFont="1" applyBorder="1" applyAlignment="1">
      <alignment horizontal="right" wrapText="1"/>
    </xf>
    <xf numFmtId="4" fontId="32" fillId="0" borderId="39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4" fontId="32" fillId="0" borderId="14" xfId="0" applyNumberFormat="1" applyFont="1" applyBorder="1" applyAlignment="1">
      <alignment horizontal="right" wrapText="1"/>
    </xf>
    <xf numFmtId="4" fontId="32" fillId="29" borderId="17" xfId="0" applyNumberFormat="1" applyFont="1" applyFill="1" applyBorder="1" applyAlignment="1">
      <alignment horizontal="right" wrapText="1"/>
    </xf>
    <xf numFmtId="4" fontId="32" fillId="29" borderId="38" xfId="0" applyNumberFormat="1" applyFont="1" applyFill="1" applyBorder="1" applyAlignment="1">
      <alignment horizontal="right" wrapText="1"/>
    </xf>
    <xf numFmtId="4" fontId="32" fillId="29" borderId="37" xfId="0" applyNumberFormat="1" applyFont="1" applyFill="1" applyBorder="1" applyAlignment="1">
      <alignment horizontal="right" wrapText="1"/>
    </xf>
    <xf numFmtId="4" fontId="32" fillId="29" borderId="19" xfId="0" applyNumberFormat="1" applyFont="1" applyFill="1" applyBorder="1" applyAlignment="1">
      <alignment horizontal="right" wrapText="1"/>
    </xf>
    <xf numFmtId="4" fontId="32" fillId="29" borderId="18" xfId="0" applyNumberFormat="1" applyFont="1" applyFill="1" applyBorder="1" applyAlignment="1">
      <alignment horizontal="right" wrapText="1"/>
    </xf>
    <xf numFmtId="4" fontId="32" fillId="29" borderId="39" xfId="0" applyNumberFormat="1" applyFont="1" applyFill="1" applyBorder="1" applyAlignment="1">
      <alignment horizontal="right" wrapText="1"/>
    </xf>
    <xf numFmtId="4" fontId="32" fillId="29" borderId="10" xfId="0" applyNumberFormat="1" applyFont="1" applyFill="1" applyBorder="1" applyAlignment="1">
      <alignment horizontal="right" wrapText="1"/>
    </xf>
    <xf numFmtId="4" fontId="32" fillId="29" borderId="14" xfId="0" applyNumberFormat="1" applyFont="1" applyFill="1" applyBorder="1" applyAlignment="1">
      <alignment horizontal="right" wrapText="1"/>
    </xf>
    <xf numFmtId="0" fontId="34" fillId="0" borderId="17" xfId="0" applyFont="1" applyBorder="1"/>
    <xf numFmtId="0" fontId="34" fillId="0" borderId="38" xfId="0" applyFont="1" applyBorder="1"/>
    <xf numFmtId="0" fontId="34" fillId="0" borderId="37" xfId="0" applyFont="1" applyBorder="1"/>
    <xf numFmtId="0" fontId="34" fillId="0" borderId="19" xfId="0" applyFont="1" applyBorder="1"/>
    <xf numFmtId="0" fontId="34" fillId="0" borderId="18" xfId="0" applyFont="1" applyBorder="1"/>
    <xf numFmtId="0" fontId="34" fillId="0" borderId="39" xfId="0" applyFont="1" applyBorder="1"/>
    <xf numFmtId="0" fontId="34" fillId="0" borderId="10" xfId="0" applyFont="1" applyBorder="1"/>
    <xf numFmtId="0" fontId="34" fillId="0" borderId="14" xfId="0" applyFont="1" applyBorder="1"/>
    <xf numFmtId="0" fontId="34" fillId="0" borderId="42" xfId="0" applyFont="1" applyBorder="1"/>
    <xf numFmtId="0" fontId="34" fillId="0" borderId="43" xfId="0" applyFont="1" applyBorder="1"/>
    <xf numFmtId="0" fontId="34" fillId="0" borderId="41" xfId="0" applyFont="1" applyBorder="1"/>
    <xf numFmtId="0" fontId="34" fillId="0" borderId="27" xfId="0" applyFont="1" applyBorder="1"/>
    <xf numFmtId="0" fontId="34" fillId="0" borderId="44" xfId="0" applyFont="1" applyBorder="1"/>
    <xf numFmtId="0" fontId="34" fillId="0" borderId="36" xfId="0" applyFont="1" applyBorder="1"/>
    <xf numFmtId="0" fontId="34" fillId="0" borderId="45" xfId="0" applyFont="1" applyBorder="1"/>
    <xf numFmtId="169" fontId="0" fillId="0" borderId="0" xfId="0" applyNumberFormat="1"/>
    <xf numFmtId="4" fontId="1" fillId="28" borderId="18" xfId="0" applyNumberFormat="1" applyFont="1" applyFill="1" applyBorder="1" applyAlignment="1">
      <alignment horizontal="right"/>
    </xf>
    <xf numFmtId="4" fontId="35" fillId="28" borderId="38" xfId="0" applyNumberFormat="1" applyFont="1" applyFill="1" applyBorder="1" applyAlignment="1">
      <alignment horizontal="right" wrapText="1"/>
    </xf>
    <xf numFmtId="4" fontId="1" fillId="28" borderId="37" xfId="0" applyNumberFormat="1" applyFont="1" applyFill="1" applyBorder="1" applyAlignment="1">
      <alignment horizontal="right"/>
    </xf>
    <xf numFmtId="170" fontId="36" fillId="0" borderId="38" xfId="41" applyNumberFormat="1" applyFont="1" applyBorder="1" applyAlignment="1">
      <alignment horizontal="right" wrapText="1"/>
    </xf>
    <xf numFmtId="4" fontId="36" fillId="28" borderId="38" xfId="0" applyNumberFormat="1" applyFont="1" applyFill="1" applyBorder="1" applyAlignment="1">
      <alignment horizontal="right" wrapText="1"/>
    </xf>
    <xf numFmtId="165" fontId="36" fillId="0" borderId="38" xfId="41" applyFont="1" applyBorder="1" applyAlignment="1">
      <alignment horizontal="right" wrapText="1"/>
    </xf>
    <xf numFmtId="164" fontId="36" fillId="0" borderId="38" xfId="41" applyNumberFormat="1" applyFont="1" applyBorder="1" applyAlignment="1">
      <alignment horizontal="right" wrapText="1"/>
    </xf>
    <xf numFmtId="4" fontId="36" fillId="28" borderId="17" xfId="0" applyNumberFormat="1" applyFont="1" applyFill="1" applyBorder="1" applyAlignment="1">
      <alignment horizontal="right" wrapText="1"/>
    </xf>
    <xf numFmtId="4" fontId="37" fillId="28" borderId="38" xfId="0" applyNumberFormat="1" applyFont="1" applyFill="1" applyBorder="1" applyAlignment="1">
      <alignment horizontal="right" wrapText="1"/>
    </xf>
    <xf numFmtId="4" fontId="36" fillId="28" borderId="37" xfId="0" applyNumberFormat="1" applyFont="1" applyFill="1" applyBorder="1" applyAlignment="1">
      <alignment horizontal="right" wrapText="1"/>
    </xf>
    <xf numFmtId="171" fontId="36" fillId="0" borderId="38" xfId="41" applyNumberFormat="1" applyFont="1" applyBorder="1" applyAlignment="1">
      <alignment horizontal="right" wrapText="1"/>
    </xf>
    <xf numFmtId="171" fontId="36" fillId="0" borderId="19" xfId="41" applyNumberFormat="1" applyFont="1" applyBorder="1" applyAlignment="1">
      <alignment horizontal="right" wrapText="1"/>
    </xf>
    <xf numFmtId="167" fontId="36" fillId="0" borderId="38" xfId="0" applyNumberFormat="1" applyFont="1" applyBorder="1" applyAlignment="1"/>
    <xf numFmtId="4" fontId="35" fillId="0" borderId="18" xfId="0" applyNumberFormat="1" applyFont="1" applyBorder="1" applyAlignment="1">
      <alignment horizontal="right"/>
    </xf>
    <xf numFmtId="4" fontId="35" fillId="0" borderId="24" xfId="0" applyNumberFormat="1" applyFont="1" applyBorder="1" applyAlignment="1">
      <alignment horizontal="right"/>
    </xf>
    <xf numFmtId="4" fontId="35" fillId="0" borderId="37" xfId="0" applyNumberFormat="1" applyFont="1" applyBorder="1" applyAlignment="1">
      <alignment horizontal="right"/>
    </xf>
    <xf numFmtId="4" fontId="36" fillId="0" borderId="17" xfId="0" applyNumberFormat="1" applyFont="1" applyBorder="1" applyAlignment="1">
      <alignment horizontal="right" wrapText="1"/>
    </xf>
    <xf numFmtId="4" fontId="36" fillId="0" borderId="38" xfId="0" applyNumberFormat="1" applyFont="1" applyBorder="1" applyAlignment="1">
      <alignment horizontal="right" wrapText="1"/>
    </xf>
    <xf numFmtId="4" fontId="36" fillId="0" borderId="37" xfId="0" applyNumberFormat="1" applyFont="1" applyBorder="1" applyAlignment="1">
      <alignment horizontal="right" wrapText="1"/>
    </xf>
    <xf numFmtId="0" fontId="36" fillId="0" borderId="38" xfId="0" applyNumberFormat="1" applyFont="1" applyBorder="1" applyAlignment="1">
      <alignment horizontal="right" wrapText="1"/>
    </xf>
    <xf numFmtId="4" fontId="36" fillId="0" borderId="19" xfId="0" applyNumberFormat="1" applyFont="1" applyBorder="1" applyAlignment="1">
      <alignment horizontal="right" wrapText="1"/>
    </xf>
    <xf numFmtId="4" fontId="36" fillId="0" borderId="18" xfId="0" applyNumberFormat="1" applyFont="1" applyBorder="1" applyAlignment="1">
      <alignment horizontal="right" wrapText="1"/>
    </xf>
    <xf numFmtId="4" fontId="1" fillId="29" borderId="18" xfId="0" applyNumberFormat="1" applyFont="1" applyFill="1" applyBorder="1" applyAlignment="1">
      <alignment horizontal="right"/>
    </xf>
    <xf numFmtId="4" fontId="35" fillId="29" borderId="38" xfId="0" applyNumberFormat="1" applyFont="1" applyFill="1" applyBorder="1" applyAlignment="1">
      <alignment horizontal="right" wrapText="1"/>
    </xf>
    <xf numFmtId="4" fontId="1" fillId="29" borderId="37" xfId="0" applyNumberFormat="1" applyFont="1" applyFill="1" applyBorder="1" applyAlignment="1">
      <alignment horizontal="right"/>
    </xf>
    <xf numFmtId="4" fontId="36" fillId="29" borderId="17" xfId="0" applyNumberFormat="1" applyFont="1" applyFill="1" applyBorder="1" applyAlignment="1">
      <alignment horizontal="right" wrapText="1"/>
    </xf>
    <xf numFmtId="4" fontId="36" fillId="29" borderId="38" xfId="0" applyNumberFormat="1" applyFont="1" applyFill="1" applyBorder="1" applyAlignment="1">
      <alignment horizontal="right" wrapText="1"/>
    </xf>
    <xf numFmtId="4" fontId="36" fillId="29" borderId="37" xfId="0" applyNumberFormat="1" applyFont="1" applyFill="1" applyBorder="1" applyAlignment="1">
      <alignment horizontal="right" wrapText="1"/>
    </xf>
    <xf numFmtId="4" fontId="36" fillId="29" borderId="18" xfId="0" applyNumberFormat="1" applyFont="1" applyFill="1" applyBorder="1" applyAlignment="1">
      <alignment horizontal="right" wrapText="1"/>
    </xf>
    <xf numFmtId="4" fontId="1" fillId="0" borderId="18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0" fontId="1" fillId="0" borderId="37" xfId="0" applyFont="1" applyBorder="1"/>
    <xf numFmtId="0" fontId="38" fillId="0" borderId="17" xfId="0" applyFont="1" applyBorder="1"/>
    <xf numFmtId="0" fontId="38" fillId="0" borderId="38" xfId="0" applyFont="1" applyBorder="1"/>
    <xf numFmtId="0" fontId="38" fillId="0" borderId="37" xfId="0" applyFont="1" applyBorder="1"/>
    <xf numFmtId="0" fontId="38" fillId="0" borderId="19" xfId="0" applyFont="1" applyBorder="1"/>
    <xf numFmtId="0" fontId="38" fillId="0" borderId="18" xfId="0" applyFont="1" applyBorder="1"/>
    <xf numFmtId="0" fontId="1" fillId="0" borderId="40" xfId="0" applyFont="1" applyBorder="1"/>
    <xf numFmtId="0" fontId="1" fillId="0" borderId="26" xfId="0" applyFont="1" applyBorder="1"/>
    <xf numFmtId="0" fontId="1" fillId="0" borderId="41" xfId="0" applyFont="1" applyBorder="1"/>
    <xf numFmtId="0" fontId="38" fillId="0" borderId="42" xfId="0" applyFont="1" applyBorder="1"/>
    <xf numFmtId="0" fontId="38" fillId="0" borderId="43" xfId="0" applyFont="1" applyBorder="1"/>
    <xf numFmtId="0" fontId="38" fillId="0" borderId="41" xfId="0" applyFont="1" applyBorder="1"/>
    <xf numFmtId="0" fontId="38" fillId="0" borderId="27" xfId="0" applyFont="1" applyBorder="1"/>
    <xf numFmtId="172" fontId="0" fillId="0" borderId="0" xfId="0" applyNumberFormat="1"/>
    <xf numFmtId="165" fontId="20" fillId="0" borderId="38" xfId="41" applyFont="1" applyBorder="1" applyAlignment="1">
      <alignment horizontal="right" wrapText="1"/>
    </xf>
    <xf numFmtId="164" fontId="20" fillId="0" borderId="38" xfId="41" applyNumberFormat="1" applyFont="1" applyBorder="1" applyAlignment="1">
      <alignment horizontal="right" wrapText="1"/>
    </xf>
    <xf numFmtId="165" fontId="39" fillId="0" borderId="38" xfId="41" applyFont="1" applyBorder="1" applyAlignment="1">
      <alignment horizontal="right" wrapText="1"/>
    </xf>
    <xf numFmtId="171" fontId="20" fillId="0" borderId="38" xfId="41" applyNumberFormat="1" applyFont="1" applyBorder="1" applyAlignment="1">
      <alignment horizontal="right" wrapText="1"/>
    </xf>
    <xf numFmtId="171" fontId="20" fillId="0" borderId="19" xfId="41" applyNumberFormat="1" applyFont="1" applyBorder="1" applyAlignment="1">
      <alignment horizontal="right" wrapText="1"/>
    </xf>
    <xf numFmtId="167" fontId="20" fillId="0" borderId="38" xfId="0" applyNumberFormat="1" applyFont="1" applyBorder="1" applyAlignment="1"/>
    <xf numFmtId="170" fontId="2" fillId="0" borderId="0" xfId="0" applyNumberFormat="1" applyFont="1" applyBorder="1"/>
    <xf numFmtId="170" fontId="20" fillId="0" borderId="0" xfId="41" applyNumberFormat="1" applyFont="1" applyBorder="1" applyAlignment="1">
      <alignment horizontal="right" wrapText="1"/>
    </xf>
    <xf numFmtId="4" fontId="0" fillId="0" borderId="0" xfId="0" applyNumberFormat="1" applyAlignment="1">
      <alignment horizontal="center" vertical="center"/>
    </xf>
    <xf numFmtId="1" fontId="0" fillId="0" borderId="0" xfId="0" applyNumberFormat="1"/>
    <xf numFmtId="170" fontId="0" fillId="0" borderId="0" xfId="0" applyNumberFormat="1" applyAlignment="1">
      <alignment horizontal="center" vertical="center"/>
    </xf>
    <xf numFmtId="173" fontId="0" fillId="0" borderId="0" xfId="0" applyNumberFormat="1"/>
    <xf numFmtId="0" fontId="0" fillId="31" borderId="0" xfId="0" applyFill="1"/>
    <xf numFmtId="0" fontId="40" fillId="0" borderId="0" xfId="0" applyFont="1"/>
    <xf numFmtId="170" fontId="0" fillId="0" borderId="0" xfId="0" applyNumberFormat="1"/>
    <xf numFmtId="174" fontId="0" fillId="0" borderId="0" xfId="0" applyNumberFormat="1"/>
    <xf numFmtId="4" fontId="41" fillId="24" borderId="16" xfId="43" applyNumberFormat="1" applyFont="1" applyFill="1" applyBorder="1" applyAlignment="1" applyProtection="1">
      <alignment horizontal="right" vertical="center" wrapText="1"/>
      <protection locked="0"/>
    </xf>
    <xf numFmtId="170" fontId="2" fillId="0" borderId="38" xfId="41" applyNumberFormat="1" applyFont="1" applyBorder="1" applyAlignment="1">
      <alignment horizontal="right" wrapText="1"/>
    </xf>
    <xf numFmtId="3" fontId="0" fillId="0" borderId="0" xfId="0" applyNumberFormat="1"/>
    <xf numFmtId="2" fontId="0" fillId="0" borderId="0" xfId="0" applyNumberFormat="1"/>
    <xf numFmtId="4" fontId="41" fillId="32" borderId="60" xfId="43" applyNumberFormat="1" applyFont="1" applyFill="1" applyBorder="1" applyAlignment="1" applyProtection="1">
      <alignment horizontal="right" vertical="center" wrapText="1"/>
    </xf>
    <xf numFmtId="3" fontId="0" fillId="0" borderId="38" xfId="0" applyNumberFormat="1" applyBorder="1"/>
    <xf numFmtId="0" fontId="0" fillId="0" borderId="0" xfId="0" applyFill="1"/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 wrapText="1"/>
    </xf>
    <xf numFmtId="4" fontId="42" fillId="0" borderId="38" xfId="0" applyNumberFormat="1" applyFont="1" applyFill="1" applyBorder="1" applyAlignment="1">
      <alignment horizontal="right"/>
    </xf>
    <xf numFmtId="0" fontId="0" fillId="0" borderId="38" xfId="0" applyFill="1" applyBorder="1" applyAlignment="1">
      <alignment vertical="top" wrapText="1"/>
    </xf>
    <xf numFmtId="4" fontId="2" fillId="0" borderId="38" xfId="41" applyNumberFormat="1" applyFont="1" applyFill="1" applyBorder="1" applyAlignment="1">
      <alignment horizontal="right" wrapText="1"/>
    </xf>
    <xf numFmtId="4" fontId="2" fillId="0" borderId="38" xfId="41" applyNumberFormat="1" applyFill="1" applyBorder="1" applyAlignment="1">
      <alignment horizontal="right"/>
    </xf>
    <xf numFmtId="0" fontId="0" fillId="0" borderId="62" xfId="0" applyFill="1" applyBorder="1" applyAlignment="1">
      <alignment horizontal="center" vertical="top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4" fontId="0" fillId="0" borderId="0" xfId="0" applyNumberFormat="1" applyFill="1"/>
    <xf numFmtId="4" fontId="0" fillId="0" borderId="38" xfId="0" applyNumberFormat="1" applyFill="1" applyBorder="1"/>
    <xf numFmtId="0" fontId="0" fillId="0" borderId="38" xfId="0" applyFill="1" applyBorder="1" applyAlignment="1">
      <alignment horizontal="center" vertical="center"/>
    </xf>
    <xf numFmtId="166" fontId="0" fillId="0" borderId="0" xfId="0" applyNumberFormat="1"/>
    <xf numFmtId="0" fontId="0" fillId="0" borderId="0" xfId="0"/>
    <xf numFmtId="0" fontId="44" fillId="0" borderId="0" xfId="0" applyFont="1"/>
    <xf numFmtId="0" fontId="43" fillId="33" borderId="38" xfId="0" applyFont="1" applyFill="1" applyBorder="1" applyAlignment="1">
      <alignment horizontal="center" wrapText="1"/>
    </xf>
    <xf numFmtId="0" fontId="46" fillId="33" borderId="38" xfId="0" applyFont="1" applyFill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/>
    </xf>
    <xf numFmtId="166" fontId="44" fillId="0" borderId="38" xfId="41" applyNumberFormat="1" applyFont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2" fillId="0" borderId="38" xfId="41" applyNumberFormat="1" applyFill="1" applyBorder="1" applyAlignment="1">
      <alignment horizontal="right" wrapText="1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" fontId="0" fillId="0" borderId="38" xfId="41" applyNumberFormat="1" applyFont="1" applyFill="1" applyBorder="1" applyAlignment="1">
      <alignment horizontal="right" wrapText="1"/>
    </xf>
    <xf numFmtId="4" fontId="0" fillId="0" borderId="38" xfId="0" applyNumberFormat="1" applyFont="1" applyFill="1" applyBorder="1" applyAlignment="1">
      <alignment horizontal="center"/>
    </xf>
    <xf numFmtId="166" fontId="0" fillId="0" borderId="38" xfId="41" applyNumberFormat="1" applyFont="1" applyFill="1" applyBorder="1" applyAlignment="1">
      <alignment wrapText="1"/>
    </xf>
    <xf numFmtId="4" fontId="0" fillId="0" borderId="38" xfId="41" applyNumberFormat="1" applyFont="1" applyBorder="1" applyAlignment="1">
      <alignment horizontal="right" wrapText="1"/>
    </xf>
    <xf numFmtId="4" fontId="0" fillId="0" borderId="38" xfId="0" applyNumberFormat="1" applyFont="1" applyFill="1" applyBorder="1"/>
    <xf numFmtId="4" fontId="2" fillId="0" borderId="38" xfId="41" applyNumberFormat="1" applyFont="1" applyBorder="1" applyAlignment="1">
      <alignment horizontal="right" wrapText="1"/>
    </xf>
    <xf numFmtId="4" fontId="2" fillId="0" borderId="38" xfId="41" applyNumberFormat="1" applyFill="1" applyBorder="1" applyAlignment="1">
      <alignment wrapText="1"/>
    </xf>
    <xf numFmtId="4" fontId="49" fillId="0" borderId="38" xfId="44" applyNumberFormat="1" applyFont="1" applyBorder="1"/>
    <xf numFmtId="4" fontId="2" fillId="0" borderId="38" xfId="48" applyNumberFormat="1" applyFont="1" applyBorder="1" applyAlignment="1">
      <alignment horizontal="right" wrapText="1"/>
    </xf>
    <xf numFmtId="4" fontId="2" fillId="0" borderId="38" xfId="50" applyNumberFormat="1" applyFont="1" applyBorder="1" applyAlignment="1">
      <alignment horizontal="right" wrapText="1"/>
    </xf>
    <xf numFmtId="4" fontId="0" fillId="0" borderId="38" xfId="0" applyNumberForma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171" fontId="50" fillId="0" borderId="38" xfId="41" applyNumberFormat="1" applyFont="1" applyBorder="1" applyAlignment="1">
      <alignment horizontal="right" wrapText="1"/>
    </xf>
    <xf numFmtId="167" fontId="2" fillId="0" borderId="38" xfId="41" applyNumberFormat="1" applyFill="1" applyBorder="1" applyAlignment="1">
      <alignment horizontal="right" wrapText="1"/>
    </xf>
    <xf numFmtId="0" fontId="0" fillId="0" borderId="0" xfId="0" applyFill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3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center" vertical="top"/>
    </xf>
    <xf numFmtId="0" fontId="0" fillId="0" borderId="61" xfId="0" applyFill="1" applyBorder="1" applyAlignment="1">
      <alignment horizontal="center" vertical="top"/>
    </xf>
    <xf numFmtId="0" fontId="0" fillId="0" borderId="62" xfId="0" applyFill="1" applyBorder="1" applyAlignment="1">
      <alignment horizontal="center" vertical="top"/>
    </xf>
    <xf numFmtId="0" fontId="0" fillId="0" borderId="38" xfId="0" applyFill="1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0" fillId="0" borderId="38" xfId="0" applyFill="1" applyBorder="1" applyAlignment="1">
      <alignment horizontal="center"/>
    </xf>
    <xf numFmtId="0" fontId="23" fillId="27" borderId="28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24" fillId="25" borderId="35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25" borderId="26" xfId="0" applyFont="1" applyFill="1" applyBorder="1" applyAlignment="1">
      <alignment horizontal="center" vertical="center" wrapText="1"/>
    </xf>
    <xf numFmtId="0" fontId="22" fillId="26" borderId="27" xfId="0" applyFont="1" applyFill="1" applyBorder="1" applyAlignment="1">
      <alignment horizontal="center" vertical="center" wrapText="1"/>
    </xf>
    <xf numFmtId="0" fontId="22" fillId="26" borderId="26" xfId="0" applyFont="1" applyFill="1" applyBorder="1" applyAlignment="1">
      <alignment horizontal="center" vertical="center" wrapText="1"/>
    </xf>
    <xf numFmtId="17" fontId="0" fillId="0" borderId="36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25" borderId="58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0" fontId="22" fillId="25" borderId="59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56" xfId="0" applyFont="1" applyFill="1" applyBorder="1" applyAlignment="1">
      <alignment horizontal="center" vertical="center" wrapText="1"/>
    </xf>
    <xf numFmtId="0" fontId="23" fillId="27" borderId="54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/>
    </xf>
    <xf numFmtId="0" fontId="25" fillId="0" borderId="34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/>
    </xf>
    <xf numFmtId="0" fontId="25" fillId="0" borderId="5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17" fontId="0" fillId="0" borderId="35" xfId="0" applyNumberForma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 2 2" xfId="45"/>
    <cellStyle name="Обычный 2 3" xfId="47"/>
    <cellStyle name="Обычный 2 4" xfId="49"/>
    <cellStyle name="Обычный 3" xfId="46"/>
    <cellStyle name="Обычный_Форма3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Финансовый 3" xfId="48"/>
    <cellStyle name="Финансовый 4" xfId="50"/>
    <cellStyle name="Хороший" xfId="42" builtinId="26" customBuiltin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1"/>
  <sheetViews>
    <sheetView tabSelected="1" workbookViewId="0">
      <selection activeCell="X14" sqref="X14"/>
    </sheetView>
  </sheetViews>
  <sheetFormatPr defaultRowHeight="12.75"/>
  <cols>
    <col min="1" max="1" width="4" style="234" customWidth="1"/>
    <col min="2" max="2" width="6.42578125" style="235" customWidth="1"/>
    <col min="3" max="3" width="25.28515625" style="236" bestFit="1" customWidth="1"/>
    <col min="4" max="4" width="9.140625" style="235"/>
    <col min="5" max="7" width="12.7109375" style="232" bestFit="1" customWidth="1"/>
    <col min="8" max="8" width="14" style="232" customWidth="1"/>
    <col min="9" max="10" width="12.7109375" style="232" bestFit="1" customWidth="1"/>
    <col min="11" max="11" width="15.140625" style="232" hidden="1" customWidth="1"/>
    <col min="12" max="12" width="14.7109375" style="232" hidden="1" customWidth="1"/>
    <col min="13" max="13" width="16.42578125" style="232" hidden="1" customWidth="1"/>
    <col min="14" max="14" width="16.28515625" style="232" hidden="1" customWidth="1"/>
    <col min="15" max="15" width="17.42578125" style="232" hidden="1" customWidth="1"/>
    <col min="16" max="17" width="12.7109375" style="249" bestFit="1" customWidth="1"/>
    <col min="18" max="18" width="12.7109375" style="232" bestFit="1" customWidth="1"/>
    <col min="19" max="19" width="13.140625" style="249" customWidth="1"/>
    <col min="20" max="20" width="12.7109375" style="249" bestFit="1" customWidth="1"/>
    <col min="21" max="21" width="12.7109375" style="232" bestFit="1" customWidth="1"/>
    <col min="22" max="16384" width="9.140625" style="232"/>
  </cols>
  <sheetData>
    <row r="3" spans="1:21" customFormat="1">
      <c r="A3" s="282" t="s">
        <v>74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S3" s="118"/>
      <c r="T3" s="118"/>
    </row>
    <row r="4" spans="1:21" customFormat="1">
      <c r="A4" s="282" t="s">
        <v>102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S4" s="118"/>
      <c r="T4" s="118"/>
    </row>
    <row r="5" spans="1:21" customFormat="1">
      <c r="A5" s="282" t="s">
        <v>6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118"/>
      <c r="T5" s="118"/>
    </row>
    <row r="6" spans="1:2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33"/>
      <c r="L6" s="233"/>
      <c r="M6" s="233"/>
    </row>
    <row r="8" spans="1:21" ht="30" customHeight="1">
      <c r="A8" s="291" t="s">
        <v>73</v>
      </c>
      <c r="B8" s="291"/>
      <c r="C8" s="291"/>
      <c r="D8" s="237" t="s">
        <v>0</v>
      </c>
      <c r="E8" s="260" t="s">
        <v>90</v>
      </c>
      <c r="F8" s="261" t="s">
        <v>91</v>
      </c>
      <c r="G8" s="263" t="s">
        <v>92</v>
      </c>
      <c r="H8" s="264" t="s">
        <v>93</v>
      </c>
      <c r="I8" s="265" t="s">
        <v>94</v>
      </c>
      <c r="J8" s="266" t="s">
        <v>95</v>
      </c>
      <c r="K8" s="266" t="s">
        <v>96</v>
      </c>
      <c r="L8" s="266" t="s">
        <v>97</v>
      </c>
      <c r="M8" s="266" t="s">
        <v>98</v>
      </c>
      <c r="N8" s="266" t="s">
        <v>99</v>
      </c>
      <c r="O8" s="266" t="s">
        <v>100</v>
      </c>
      <c r="P8" s="268" t="s">
        <v>96</v>
      </c>
      <c r="Q8" s="268" t="s">
        <v>97</v>
      </c>
      <c r="R8" s="268" t="s">
        <v>98</v>
      </c>
      <c r="S8" s="268" t="s">
        <v>99</v>
      </c>
      <c r="T8" s="268" t="s">
        <v>100</v>
      </c>
      <c r="U8" s="268" t="s">
        <v>101</v>
      </c>
    </row>
    <row r="9" spans="1:21" ht="27" customHeight="1">
      <c r="A9" s="286">
        <v>1</v>
      </c>
      <c r="B9" s="283" t="s">
        <v>70</v>
      </c>
      <c r="C9" s="283"/>
      <c r="D9" s="238" t="s">
        <v>72</v>
      </c>
      <c r="E9" s="239">
        <v>57096050</v>
      </c>
      <c r="F9" s="262">
        <v>52617322</v>
      </c>
      <c r="G9" s="262">
        <v>48792800</v>
      </c>
      <c r="H9" s="262">
        <v>44695297</v>
      </c>
      <c r="I9" s="262">
        <v>42040460</v>
      </c>
      <c r="J9" s="267">
        <v>34852327</v>
      </c>
      <c r="K9" s="269"/>
      <c r="L9" s="269"/>
      <c r="M9" s="269"/>
      <c r="N9" s="269"/>
      <c r="O9" s="269"/>
      <c r="P9" s="270">
        <v>34974752</v>
      </c>
      <c r="Q9" s="272">
        <v>36923866</v>
      </c>
      <c r="R9" s="274">
        <v>43088943</v>
      </c>
      <c r="S9" s="250">
        <v>49297617</v>
      </c>
      <c r="T9" s="250">
        <v>52552269</v>
      </c>
      <c r="U9" s="277">
        <v>55235666</v>
      </c>
    </row>
    <row r="10" spans="1:21" ht="26.25" customHeight="1">
      <c r="A10" s="287"/>
      <c r="B10" s="259" t="s">
        <v>66</v>
      </c>
      <c r="C10" s="240" t="s">
        <v>68</v>
      </c>
      <c r="D10" s="238" t="s">
        <v>72</v>
      </c>
      <c r="E10" s="241">
        <v>14244888</v>
      </c>
      <c r="F10" s="262">
        <v>12205500</v>
      </c>
      <c r="G10" s="262">
        <v>12123094</v>
      </c>
      <c r="H10" s="262">
        <v>9372988</v>
      </c>
      <c r="I10" s="262">
        <v>9197897</v>
      </c>
      <c r="J10" s="267">
        <v>7869213</v>
      </c>
      <c r="K10" s="269"/>
      <c r="L10" s="269"/>
      <c r="M10" s="269"/>
      <c r="N10" s="269"/>
      <c r="O10" s="269"/>
      <c r="P10" s="227">
        <v>8198800</v>
      </c>
      <c r="Q10" s="272">
        <v>9084591</v>
      </c>
      <c r="R10" s="275">
        <v>10413296</v>
      </c>
      <c r="S10" s="250">
        <v>11309389</v>
      </c>
      <c r="T10" s="250">
        <v>12462960</v>
      </c>
      <c r="U10" s="277">
        <v>14069807</v>
      </c>
    </row>
    <row r="11" spans="1:21" ht="26.25" customHeight="1">
      <c r="A11" s="288"/>
      <c r="B11" s="259" t="s">
        <v>67</v>
      </c>
      <c r="C11" s="240" t="s">
        <v>69</v>
      </c>
      <c r="D11" s="238" t="s">
        <v>72</v>
      </c>
      <c r="E11" s="242">
        <f t="shared" ref="E11:J11" si="0">E9-E10</f>
        <v>42851162</v>
      </c>
      <c r="F11" s="242">
        <f t="shared" si="0"/>
        <v>40411822</v>
      </c>
      <c r="G11" s="242">
        <f t="shared" si="0"/>
        <v>36669706</v>
      </c>
      <c r="H11" s="242">
        <f t="shared" si="0"/>
        <v>35322309</v>
      </c>
      <c r="I11" s="242">
        <f t="shared" si="0"/>
        <v>32842563</v>
      </c>
      <c r="J11" s="242">
        <f t="shared" si="0"/>
        <v>26983114</v>
      </c>
      <c r="K11" s="242">
        <f t="shared" ref="K11" si="1">K9-K10</f>
        <v>0</v>
      </c>
      <c r="L11" s="242">
        <f t="shared" ref="L11" si="2">L9-L10</f>
        <v>0</v>
      </c>
      <c r="M11" s="242">
        <f t="shared" ref="M11" si="3">M9-M10</f>
        <v>0</v>
      </c>
      <c r="N11" s="242">
        <f t="shared" ref="N11" si="4">N9-N10</f>
        <v>0</v>
      </c>
      <c r="O11" s="242">
        <f t="shared" ref="O11" si="5">O9-O10</f>
        <v>0</v>
      </c>
      <c r="P11" s="242">
        <f t="shared" ref="P11:U11" si="6">P9-P10</f>
        <v>26775952</v>
      </c>
      <c r="Q11" s="242">
        <f t="shared" si="6"/>
        <v>27839275</v>
      </c>
      <c r="R11" s="242">
        <f t="shared" si="6"/>
        <v>32675647</v>
      </c>
      <c r="S11" s="242">
        <f t="shared" si="6"/>
        <v>37988228</v>
      </c>
      <c r="T11" s="242">
        <f t="shared" si="6"/>
        <v>40089309</v>
      </c>
      <c r="U11" s="242">
        <f t="shared" si="6"/>
        <v>41165859</v>
      </c>
    </row>
    <row r="12" spans="1:21" ht="39" customHeight="1">
      <c r="A12" s="243">
        <v>2</v>
      </c>
      <c r="B12" s="284" t="s">
        <v>71</v>
      </c>
      <c r="C12" s="285"/>
      <c r="D12" s="238" t="s">
        <v>5</v>
      </c>
      <c r="E12" s="279">
        <v>58.612000000000002</v>
      </c>
      <c r="F12" s="280">
        <v>51.384999999999998</v>
      </c>
      <c r="G12" s="262">
        <v>48.756</v>
      </c>
      <c r="H12" s="262">
        <v>38.03</v>
      </c>
      <c r="I12" s="262">
        <v>36.286999999999999</v>
      </c>
      <c r="J12" s="267">
        <v>31.98</v>
      </c>
      <c r="K12" s="269"/>
      <c r="L12" s="269"/>
      <c r="M12" s="269"/>
      <c r="N12" s="269"/>
      <c r="O12" s="269"/>
      <c r="P12" s="271">
        <v>33.555</v>
      </c>
      <c r="Q12" s="273">
        <v>36.573999999999998</v>
      </c>
      <c r="R12" s="276">
        <v>42.692999999999998</v>
      </c>
      <c r="S12" s="250">
        <v>45.591000000000001</v>
      </c>
      <c r="T12" s="250">
        <v>53.045000000000002</v>
      </c>
      <c r="U12" s="277">
        <v>56.994</v>
      </c>
    </row>
    <row r="13" spans="1:21" ht="42.75" customHeight="1">
      <c r="A13" s="251">
        <v>3</v>
      </c>
      <c r="B13" s="289" t="s">
        <v>75</v>
      </c>
      <c r="C13" s="289"/>
      <c r="D13" s="238" t="s">
        <v>5</v>
      </c>
      <c r="E13" s="250">
        <v>87.963999999999999</v>
      </c>
      <c r="F13" s="250">
        <v>87.322999999999993</v>
      </c>
      <c r="G13" s="250">
        <v>73.906999999999996</v>
      </c>
      <c r="H13" s="250">
        <v>68.385000000000005</v>
      </c>
      <c r="I13" s="250">
        <v>61.277000000000001</v>
      </c>
      <c r="J13" s="278">
        <v>54.465000000000003</v>
      </c>
      <c r="K13" s="278"/>
      <c r="L13" s="278"/>
      <c r="M13" s="278"/>
      <c r="N13" s="278"/>
      <c r="O13" s="278"/>
      <c r="P13" s="278">
        <v>51.981000000000002</v>
      </c>
      <c r="Q13" s="250">
        <v>54.63</v>
      </c>
      <c r="R13" s="277">
        <v>66.885000000000005</v>
      </c>
      <c r="S13" s="250">
        <v>76.445999999999998</v>
      </c>
      <c r="T13" s="277">
        <v>84.162000000000006</v>
      </c>
      <c r="U13" s="277">
        <v>84.021000000000001</v>
      </c>
    </row>
    <row r="14" spans="1:21" ht="29.25" customHeight="1">
      <c r="A14" s="245"/>
      <c r="B14" s="246"/>
      <c r="C14" s="246"/>
      <c r="D14" s="247"/>
      <c r="E14" s="248"/>
      <c r="F14" s="248"/>
      <c r="G14" s="248"/>
      <c r="H14" s="248"/>
      <c r="I14" s="248"/>
      <c r="J14" s="248"/>
    </row>
    <row r="15" spans="1:21" ht="29.25" customHeight="1">
      <c r="A15" s="245"/>
      <c r="B15" s="246"/>
      <c r="C15" s="246"/>
      <c r="D15" s="247"/>
      <c r="E15" s="248"/>
      <c r="F15" s="248"/>
      <c r="G15" s="248"/>
      <c r="H15" s="248"/>
      <c r="I15" s="248"/>
      <c r="J15" s="248"/>
    </row>
    <row r="16" spans="1:21" ht="29.25" customHeight="1">
      <c r="A16" s="245"/>
      <c r="B16" s="246"/>
      <c r="C16" s="246"/>
      <c r="D16" s="247"/>
      <c r="E16" s="248"/>
      <c r="F16" s="248"/>
      <c r="G16" s="248"/>
      <c r="H16" s="248"/>
      <c r="I16" s="248"/>
      <c r="J16" s="248"/>
    </row>
    <row r="21" spans="1:3">
      <c r="A21" s="244"/>
    </row>
    <row r="22" spans="1:3">
      <c r="A22" s="244"/>
    </row>
    <row r="23" spans="1:3">
      <c r="A23" s="244"/>
    </row>
    <row r="24" spans="1:3">
      <c r="A24" s="244"/>
    </row>
    <row r="25" spans="1:3">
      <c r="A25" s="244"/>
    </row>
    <row r="30" spans="1:3">
      <c r="A30" s="244"/>
    </row>
    <row r="31" spans="1:3">
      <c r="A31" s="281"/>
      <c r="B31" s="281"/>
      <c r="C31" s="281"/>
    </row>
  </sheetData>
  <mergeCells count="10">
    <mergeCell ref="A31:C31"/>
    <mergeCell ref="A3:Q3"/>
    <mergeCell ref="B9:C9"/>
    <mergeCell ref="B12:C12"/>
    <mergeCell ref="A9:A11"/>
    <mergeCell ref="A5:R5"/>
    <mergeCell ref="B13:C13"/>
    <mergeCell ref="A6:J6"/>
    <mergeCell ref="A8:C8"/>
    <mergeCell ref="A4:Q4"/>
  </mergeCells>
  <phoneticPr fontId="21" type="noConversion"/>
  <pageMargins left="0.35433070866141736" right="0.23622047244094491" top="0.55118110236220474" bottom="0.66929133858267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67"/>
  <sheetViews>
    <sheetView workbookViewId="0">
      <pane xSplit="2" ySplit="4" topLeftCell="P53" activePane="bottomRight" state="frozen"/>
      <selection pane="topRight" activeCell="C1" sqref="C1"/>
      <selection pane="bottomLeft" activeCell="A5" sqref="A5"/>
      <selection pane="bottomRight" activeCell="P6" sqref="P6"/>
    </sheetView>
  </sheetViews>
  <sheetFormatPr defaultRowHeight="12.75"/>
  <cols>
    <col min="2" max="2" width="13.42578125" bestFit="1" customWidth="1"/>
    <col min="3" max="3" width="13.42578125" customWidth="1"/>
    <col min="4" max="4" width="13.28515625" bestFit="1" customWidth="1"/>
    <col min="5" max="5" width="12.42578125" bestFit="1" customWidth="1"/>
    <col min="6" max="6" width="12.42578125" customWidth="1"/>
    <col min="7" max="7" width="12.7109375" bestFit="1" customWidth="1"/>
    <col min="8" max="8" width="10.5703125" customWidth="1"/>
    <col min="9" max="9" width="14.42578125" customWidth="1"/>
    <col min="10" max="10" width="12.7109375" bestFit="1" customWidth="1"/>
    <col min="11" max="12" width="15.28515625" customWidth="1"/>
    <col min="13" max="13" width="12.42578125" bestFit="1" customWidth="1"/>
    <col min="14" max="14" width="10.5703125" customWidth="1"/>
    <col min="15" max="15" width="14.28515625" customWidth="1"/>
    <col min="16" max="16" width="12.42578125" bestFit="1" customWidth="1"/>
    <col min="17" max="17" width="7.140625" customWidth="1"/>
    <col min="18" max="18" width="12.28515625" customWidth="1"/>
    <col min="20" max="20" width="5.85546875" bestFit="1" customWidth="1"/>
    <col min="21" max="21" width="14.140625" customWidth="1"/>
    <col min="22" max="22" width="5.85546875" bestFit="1" customWidth="1"/>
    <col min="23" max="23" width="7.7109375" customWidth="1"/>
    <col min="24" max="24" width="13.42578125" customWidth="1"/>
    <col min="25" max="25" width="6.5703125" customWidth="1"/>
    <col min="26" max="26" width="5.85546875" bestFit="1" customWidth="1"/>
    <col min="27" max="27" width="13" customWidth="1"/>
    <col min="29" max="29" width="5.85546875" customWidth="1"/>
    <col min="30" max="30" width="13.85546875" customWidth="1"/>
    <col min="32" max="32" width="6" bestFit="1" customWidth="1"/>
    <col min="33" max="33" width="11.42578125" customWidth="1"/>
    <col min="35" max="35" width="13.140625" bestFit="1" customWidth="1"/>
    <col min="36" max="36" width="10.7109375" bestFit="1" customWidth="1"/>
    <col min="38" max="38" width="13.28515625" bestFit="1" customWidth="1"/>
    <col min="39" max="39" width="12.42578125" bestFit="1" customWidth="1"/>
    <col min="40" max="40" width="12" customWidth="1"/>
  </cols>
  <sheetData>
    <row r="2" spans="1:39" ht="13.5" thickBot="1"/>
    <row r="3" spans="1:39" ht="15.75" thickBot="1">
      <c r="A3" s="306" t="s">
        <v>7</v>
      </c>
      <c r="B3" s="306"/>
      <c r="C3" s="3"/>
      <c r="D3" s="308" t="s">
        <v>8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 t="s">
        <v>9</v>
      </c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292" t="s">
        <v>10</v>
      </c>
      <c r="AI3" s="292"/>
      <c r="AJ3" s="292"/>
      <c r="AK3" s="292"/>
      <c r="AL3" s="293" t="s">
        <v>11</v>
      </c>
    </row>
    <row r="4" spans="1:39" ht="33.75">
      <c r="A4" s="307"/>
      <c r="B4" s="307"/>
      <c r="C4" s="4"/>
      <c r="D4" s="296" t="s">
        <v>12</v>
      </c>
      <c r="E4" s="296"/>
      <c r="F4" s="297"/>
      <c r="G4" s="298" t="s">
        <v>13</v>
      </c>
      <c r="H4" s="299"/>
      <c r="I4" s="300"/>
      <c r="J4" s="301" t="s">
        <v>14</v>
      </c>
      <c r="K4" s="302"/>
      <c r="L4" s="303"/>
      <c r="M4" s="301" t="s">
        <v>15</v>
      </c>
      <c r="N4" s="302"/>
      <c r="O4" s="302"/>
      <c r="P4" s="304" t="s">
        <v>12</v>
      </c>
      <c r="Q4" s="296"/>
      <c r="R4" s="305"/>
      <c r="S4" s="302" t="s">
        <v>13</v>
      </c>
      <c r="T4" s="302"/>
      <c r="U4" s="303"/>
      <c r="V4" s="301" t="s">
        <v>16</v>
      </c>
      <c r="W4" s="302"/>
      <c r="X4" s="302"/>
      <c r="Y4" s="301" t="s">
        <v>17</v>
      </c>
      <c r="Z4" s="302"/>
      <c r="AA4" s="303"/>
      <c r="AB4" s="301" t="s">
        <v>18</v>
      </c>
      <c r="AC4" s="302"/>
      <c r="AD4" s="303"/>
      <c r="AE4" s="301" t="s">
        <v>19</v>
      </c>
      <c r="AF4" s="302"/>
      <c r="AG4" s="302"/>
      <c r="AH4" s="5" t="s">
        <v>20</v>
      </c>
      <c r="AI4" s="6" t="s">
        <v>21</v>
      </c>
      <c r="AJ4" s="6" t="s">
        <v>22</v>
      </c>
      <c r="AK4" s="7" t="s">
        <v>23</v>
      </c>
      <c r="AL4" s="294"/>
    </row>
    <row r="5" spans="1:39">
      <c r="A5" s="311">
        <v>40634</v>
      </c>
      <c r="B5" s="8"/>
      <c r="C5" s="8"/>
      <c r="D5" s="9" t="s">
        <v>24</v>
      </c>
      <c r="E5" s="10" t="s">
        <v>25</v>
      </c>
      <c r="F5" s="11" t="s">
        <v>26</v>
      </c>
      <c r="G5" s="12" t="s">
        <v>24</v>
      </c>
      <c r="H5" s="10" t="s">
        <v>25</v>
      </c>
      <c r="I5" s="13" t="s">
        <v>26</v>
      </c>
      <c r="J5" s="12" t="s">
        <v>24</v>
      </c>
      <c r="K5" s="10" t="s">
        <v>25</v>
      </c>
      <c r="L5" s="13" t="s">
        <v>26</v>
      </c>
      <c r="M5" s="12" t="s">
        <v>24</v>
      </c>
      <c r="N5" s="10" t="s">
        <v>25</v>
      </c>
      <c r="O5" s="14" t="s">
        <v>26</v>
      </c>
      <c r="P5" s="15" t="s">
        <v>24</v>
      </c>
      <c r="Q5" s="10" t="s">
        <v>25</v>
      </c>
      <c r="R5" s="11" t="s">
        <v>26</v>
      </c>
      <c r="S5" s="9" t="s">
        <v>24</v>
      </c>
      <c r="T5" s="16" t="s">
        <v>25</v>
      </c>
      <c r="U5" s="11" t="s">
        <v>26</v>
      </c>
      <c r="V5" s="15" t="s">
        <v>24</v>
      </c>
      <c r="W5" s="16" t="s">
        <v>25</v>
      </c>
      <c r="X5" s="11" t="s">
        <v>26</v>
      </c>
      <c r="Y5" s="15" t="s">
        <v>24</v>
      </c>
      <c r="Z5" s="16" t="s">
        <v>25</v>
      </c>
      <c r="AA5" s="11" t="s">
        <v>26</v>
      </c>
      <c r="AB5" s="15" t="s">
        <v>24</v>
      </c>
      <c r="AC5" s="16" t="s">
        <v>25</v>
      </c>
      <c r="AD5" s="11" t="s">
        <v>26</v>
      </c>
      <c r="AE5" s="15" t="s">
        <v>24</v>
      </c>
      <c r="AF5" s="16" t="s">
        <v>25</v>
      </c>
      <c r="AG5" s="17" t="s">
        <v>26</v>
      </c>
      <c r="AH5" s="18" t="s">
        <v>26</v>
      </c>
      <c r="AI5" s="18" t="s">
        <v>26</v>
      </c>
      <c r="AJ5" s="18" t="s">
        <v>26</v>
      </c>
      <c r="AK5" s="19" t="s">
        <v>26</v>
      </c>
      <c r="AL5" s="295"/>
    </row>
    <row r="6" spans="1:39" ht="15">
      <c r="A6" s="312"/>
      <c r="B6" s="20" t="s">
        <v>27</v>
      </c>
      <c r="C6" s="20"/>
      <c r="D6" s="21">
        <f>G6+J6+M6</f>
        <v>30205554</v>
      </c>
      <c r="E6" s="22">
        <f>F6/D6</f>
        <v>0.73489049199362477</v>
      </c>
      <c r="F6" s="23">
        <f>I6+L6+O6</f>
        <v>22197774.440000001</v>
      </c>
      <c r="G6" s="24">
        <v>10351350</v>
      </c>
      <c r="H6" s="22">
        <f>I6/G6</f>
        <v>0.41228356397957749</v>
      </c>
      <c r="I6" s="25">
        <v>4267691.47</v>
      </c>
      <c r="J6" s="24">
        <v>19584386</v>
      </c>
      <c r="K6" s="22">
        <f>L6/J6</f>
        <v>0.90137846343510597</v>
      </c>
      <c r="L6" s="25">
        <v>17652943.760000002</v>
      </c>
      <c r="M6" s="24">
        <v>269818</v>
      </c>
      <c r="N6" s="22">
        <f>O6/M6</f>
        <v>1.0271338828395438</v>
      </c>
      <c r="O6" s="26">
        <v>277139.21000000002</v>
      </c>
      <c r="P6" s="24">
        <f>S6+V6+Y6+AB6+AE6</f>
        <v>73.919999999999987</v>
      </c>
      <c r="Q6" s="27">
        <f>R6/P6</f>
        <v>124349.9406114719</v>
      </c>
      <c r="R6" s="25">
        <f>U6+X6+AA6+AD6+AG6</f>
        <v>9191947.6100000013</v>
      </c>
      <c r="S6" s="28">
        <v>42.826999999999998</v>
      </c>
      <c r="T6" s="27">
        <f>U6/S6</f>
        <v>91272.439816003927</v>
      </c>
      <c r="U6" s="25">
        <v>3908924.78</v>
      </c>
      <c r="V6" s="29">
        <v>1.292</v>
      </c>
      <c r="W6" s="27">
        <f>X6/V6</f>
        <v>413099.5665634675</v>
      </c>
      <c r="X6" s="26">
        <v>533724.64</v>
      </c>
      <c r="Y6" s="29">
        <v>0.35199999999999998</v>
      </c>
      <c r="Z6" s="27">
        <f>AA6/Y6</f>
        <v>479388.43750000006</v>
      </c>
      <c r="AA6" s="25">
        <v>168744.73</v>
      </c>
      <c r="AB6" s="29">
        <v>29.193999999999999</v>
      </c>
      <c r="AC6" s="27">
        <f>AD6/AB6</f>
        <v>155919.68075631981</v>
      </c>
      <c r="AD6" s="30">
        <v>4551919.16</v>
      </c>
      <c r="AE6" s="31">
        <v>0.255</v>
      </c>
      <c r="AF6" s="27">
        <f>AG6/AE6</f>
        <v>112291.37254901961</v>
      </c>
      <c r="AG6" s="32">
        <v>28634.3</v>
      </c>
      <c r="AH6" s="33">
        <f>AI6+AJ6+AK6</f>
        <v>87374.62</v>
      </c>
      <c r="AI6" s="33">
        <v>19535.09</v>
      </c>
      <c r="AJ6" s="33">
        <v>6708.17</v>
      </c>
      <c r="AK6" s="34">
        <v>61131.360000000001</v>
      </c>
      <c r="AL6" s="35"/>
    </row>
    <row r="7" spans="1:39">
      <c r="A7" s="312"/>
      <c r="B7" s="36" t="s">
        <v>28</v>
      </c>
      <c r="C7" s="36"/>
      <c r="D7" s="37">
        <f>G7+J7+M7</f>
        <v>839730</v>
      </c>
      <c r="E7" s="38"/>
      <c r="F7" s="39">
        <f>I7+L7</f>
        <v>615102.4491930299</v>
      </c>
      <c r="G7" s="40">
        <v>289947.99999999994</v>
      </c>
      <c r="H7" s="41"/>
      <c r="I7" s="42">
        <f>G7*H6</f>
        <v>119540.79480875051</v>
      </c>
      <c r="J7" s="40">
        <v>549782</v>
      </c>
      <c r="K7" s="41"/>
      <c r="L7" s="42">
        <f>K6*J7</f>
        <v>495561.65438427945</v>
      </c>
      <c r="M7" s="40"/>
      <c r="N7" s="43"/>
      <c r="O7" s="44"/>
      <c r="P7" s="40"/>
      <c r="Q7" s="43"/>
      <c r="R7" s="42"/>
      <c r="S7" s="45"/>
      <c r="T7" s="41"/>
      <c r="U7" s="42"/>
      <c r="V7" s="40"/>
      <c r="W7" s="41"/>
      <c r="X7" s="44"/>
      <c r="Y7" s="40"/>
      <c r="Z7" s="41"/>
      <c r="AA7" s="42"/>
      <c r="AB7" s="40"/>
      <c r="AC7" s="45"/>
      <c r="AD7" s="46"/>
      <c r="AE7" s="45"/>
      <c r="AF7" s="45"/>
      <c r="AG7" s="47"/>
      <c r="AH7" s="48"/>
      <c r="AI7" s="48"/>
      <c r="AJ7" s="48"/>
      <c r="AK7" s="49"/>
      <c r="AL7" s="50"/>
    </row>
    <row r="8" spans="1:39" ht="15">
      <c r="A8" s="312"/>
      <c r="B8" s="51" t="s">
        <v>29</v>
      </c>
      <c r="C8" s="51"/>
      <c r="D8" s="52">
        <f>J8+M8</f>
        <v>1298164</v>
      </c>
      <c r="E8" s="53">
        <f>F8/D8</f>
        <v>0.74732878126338431</v>
      </c>
      <c r="F8" s="54">
        <f>I8+L8+O8</f>
        <v>970155.32000000007</v>
      </c>
      <c r="G8" s="55"/>
      <c r="H8" s="53"/>
      <c r="I8" s="56"/>
      <c r="J8" s="55">
        <v>13278</v>
      </c>
      <c r="K8" s="53">
        <f>L8/J8</f>
        <v>2.2593764121102577E-4</v>
      </c>
      <c r="L8" s="56">
        <v>3</v>
      </c>
      <c r="M8" s="57">
        <v>1284886</v>
      </c>
      <c r="N8" s="53">
        <f>O8/M8</f>
        <v>0.7550493351161115</v>
      </c>
      <c r="O8" s="58">
        <v>970152.32000000007</v>
      </c>
      <c r="P8" s="55"/>
      <c r="Q8" s="53"/>
      <c r="R8" s="56"/>
      <c r="S8" s="59"/>
      <c r="T8" s="53"/>
      <c r="U8" s="56"/>
      <c r="V8" s="55"/>
      <c r="W8" s="53"/>
      <c r="X8" s="58"/>
      <c r="Y8" s="55"/>
      <c r="Z8" s="53"/>
      <c r="AA8" s="56"/>
      <c r="AB8" s="55"/>
      <c r="AC8" s="59"/>
      <c r="AD8" s="60"/>
      <c r="AE8" s="59"/>
      <c r="AF8" s="59"/>
      <c r="AG8" s="61"/>
      <c r="AH8" s="62"/>
      <c r="AI8" s="62"/>
      <c r="AJ8" s="62"/>
      <c r="AK8" s="57"/>
      <c r="AL8" s="35"/>
    </row>
    <row r="9" spans="1:39">
      <c r="A9" s="312"/>
      <c r="B9" s="36" t="s">
        <v>28</v>
      </c>
      <c r="C9" s="36"/>
      <c r="D9" s="63">
        <f>G9+J9+M9</f>
        <v>13278</v>
      </c>
      <c r="E9" s="64"/>
      <c r="F9" s="65"/>
      <c r="G9" s="66"/>
      <c r="H9" s="67"/>
      <c r="I9" s="65"/>
      <c r="J9" s="68">
        <v>13278</v>
      </c>
      <c r="K9" s="67"/>
      <c r="L9" s="65">
        <v>3</v>
      </c>
      <c r="M9" s="66"/>
      <c r="N9" s="67"/>
      <c r="O9" s="69"/>
      <c r="P9" s="66"/>
      <c r="Q9" s="70"/>
      <c r="R9" s="65"/>
      <c r="S9" s="71"/>
      <c r="T9" s="67"/>
      <c r="U9" s="65"/>
      <c r="V9" s="66"/>
      <c r="W9" s="67"/>
      <c r="X9" s="69"/>
      <c r="Y9" s="66"/>
      <c r="Z9" s="67"/>
      <c r="AA9" s="65"/>
      <c r="AB9" s="66"/>
      <c r="AC9" s="71"/>
      <c r="AD9" s="72"/>
      <c r="AE9" s="71"/>
      <c r="AF9" s="71"/>
      <c r="AG9" s="70"/>
      <c r="AH9" s="8"/>
      <c r="AI9" s="8"/>
      <c r="AJ9" s="8"/>
      <c r="AK9" s="73"/>
      <c r="AL9" s="35"/>
    </row>
    <row r="10" spans="1:39" ht="13.5" thickBot="1">
      <c r="A10" s="312"/>
      <c r="B10" s="74"/>
      <c r="C10" s="74"/>
      <c r="D10" s="75"/>
      <c r="E10" s="76"/>
      <c r="F10" s="77"/>
      <c r="G10" s="78"/>
      <c r="H10" s="79"/>
      <c r="I10" s="77"/>
      <c r="J10" s="78"/>
      <c r="K10" s="79"/>
      <c r="L10" s="77"/>
      <c r="M10" s="78"/>
      <c r="N10" s="79"/>
      <c r="O10" s="80"/>
      <c r="P10" s="78"/>
      <c r="Q10" s="76"/>
      <c r="R10" s="77"/>
      <c r="S10" s="75"/>
      <c r="T10" s="79"/>
      <c r="U10" s="77"/>
      <c r="V10" s="78"/>
      <c r="W10" s="79"/>
      <c r="X10" s="80"/>
      <c r="Y10" s="78"/>
      <c r="Z10" s="79"/>
      <c r="AA10" s="77"/>
      <c r="AB10" s="78"/>
      <c r="AC10" s="75"/>
      <c r="AD10" s="81"/>
      <c r="AE10" s="75"/>
      <c r="AF10" s="75"/>
      <c r="AG10" s="76"/>
      <c r="AH10" s="74"/>
      <c r="AI10" s="74"/>
      <c r="AJ10" s="74"/>
      <c r="AK10" s="82"/>
      <c r="AL10" s="83"/>
    </row>
    <row r="11" spans="1:39" ht="15">
      <c r="A11" s="84"/>
      <c r="B11" s="84" t="s">
        <v>12</v>
      </c>
      <c r="C11" s="85">
        <f>F11+R11</f>
        <v>30419566.730000004</v>
      </c>
      <c r="D11" s="86">
        <f>G11+J11+M11</f>
        <v>28907390</v>
      </c>
      <c r="E11" s="87"/>
      <c r="F11" s="88">
        <f>I11+L11+O11</f>
        <v>21227619.120000001</v>
      </c>
      <c r="G11" s="89">
        <f>G6-G8</f>
        <v>10351350</v>
      </c>
      <c r="H11" s="90"/>
      <c r="I11" s="88">
        <f t="shared" ref="I11:O11" si="0">I6-I8</f>
        <v>4267691.47</v>
      </c>
      <c r="J11" s="89">
        <f>J6-J8</f>
        <v>19571108</v>
      </c>
      <c r="K11" s="90">
        <f t="shared" si="0"/>
        <v>0.90115252579389493</v>
      </c>
      <c r="L11" s="88">
        <f t="shared" si="0"/>
        <v>17652940.760000002</v>
      </c>
      <c r="M11" s="89">
        <f t="shared" si="0"/>
        <v>-1015068</v>
      </c>
      <c r="N11" s="90"/>
      <c r="O11" s="91">
        <f t="shared" si="0"/>
        <v>-693013.1100000001</v>
      </c>
      <c r="P11" s="91">
        <f>S11+V11+Y11+AB11+AE11</f>
        <v>73.919999999999987</v>
      </c>
      <c r="Q11" s="91"/>
      <c r="R11" s="91">
        <f>U11+X11+AA11+AD11+AG11</f>
        <v>9191947.6100000013</v>
      </c>
      <c r="S11" s="89">
        <f>S6-S8</f>
        <v>42.826999999999998</v>
      </c>
      <c r="T11" s="89"/>
      <c r="U11" s="89">
        <f t="shared" ref="U11:AG11" si="1">U6-U8</f>
        <v>3908924.78</v>
      </c>
      <c r="V11" s="89">
        <f t="shared" si="1"/>
        <v>1.292</v>
      </c>
      <c r="W11" s="89"/>
      <c r="X11" s="89">
        <f t="shared" si="1"/>
        <v>533724.64</v>
      </c>
      <c r="Y11" s="89">
        <f t="shared" si="1"/>
        <v>0.35199999999999998</v>
      </c>
      <c r="Z11" s="89"/>
      <c r="AA11" s="89">
        <f t="shared" si="1"/>
        <v>168744.73</v>
      </c>
      <c r="AB11" s="89">
        <f t="shared" si="1"/>
        <v>29.193999999999999</v>
      </c>
      <c r="AC11" s="89"/>
      <c r="AD11" s="89">
        <f t="shared" si="1"/>
        <v>4551919.16</v>
      </c>
      <c r="AE11" s="89">
        <f t="shared" si="1"/>
        <v>0.255</v>
      </c>
      <c r="AF11" s="89"/>
      <c r="AG11" s="92">
        <f t="shared" si="1"/>
        <v>28634.3</v>
      </c>
      <c r="AH11" s="85">
        <f>AI11+AJ11+AK11</f>
        <v>87374.62</v>
      </c>
      <c r="AI11" s="85">
        <f>AI6-AI8</f>
        <v>19535.09</v>
      </c>
      <c r="AJ11" s="85">
        <f>AJ6-AJ8</f>
        <v>6708.17</v>
      </c>
      <c r="AK11" s="92">
        <f>AK6-AK8</f>
        <v>61131.360000000001</v>
      </c>
      <c r="AL11" s="93">
        <f>AH11+F11+R11</f>
        <v>30506941.350000001</v>
      </c>
    </row>
    <row r="12" spans="1:39" ht="15">
      <c r="A12" s="66"/>
      <c r="B12" s="67"/>
      <c r="C12" s="67">
        <v>31389722.050000004</v>
      </c>
      <c r="D12" s="94">
        <f>D13-D11+D7</f>
        <v>0</v>
      </c>
      <c r="E12" s="94"/>
      <c r="F12" s="95"/>
      <c r="G12" s="95"/>
      <c r="H12" s="95"/>
      <c r="I12" s="95"/>
      <c r="J12" s="95"/>
      <c r="K12" s="95"/>
      <c r="L12" s="95"/>
      <c r="M12" s="95">
        <f>M6+M8</f>
        <v>1554704</v>
      </c>
      <c r="N12" s="96">
        <f>M6/D13</f>
        <v>9.6131277064065903E-3</v>
      </c>
      <c r="O12" s="95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5"/>
    </row>
    <row r="13" spans="1:39" ht="15.75" thickBot="1">
      <c r="A13" s="97"/>
      <c r="B13" s="98" t="s">
        <v>30</v>
      </c>
      <c r="C13" s="98">
        <f>C11/D13</f>
        <v>1.0837941862627667</v>
      </c>
      <c r="D13" s="99">
        <v>28067660</v>
      </c>
      <c r="E13" s="99">
        <f>C11/D13</f>
        <v>1.0837941862627667</v>
      </c>
      <c r="F13" s="100"/>
      <c r="G13" s="98"/>
      <c r="H13" s="98"/>
      <c r="I13" s="98"/>
      <c r="J13" s="98"/>
      <c r="K13" s="98"/>
      <c r="L13" s="98"/>
      <c r="M13" s="98">
        <f>M12/D13</f>
        <v>5.5391293752311381E-2</v>
      </c>
      <c r="N13" s="101">
        <f>M8/D13</f>
        <v>4.5778166045904789E-2</v>
      </c>
      <c r="O13" s="102">
        <f>N12+N13</f>
        <v>5.5391293752311381E-2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03"/>
      <c r="AM13">
        <f>AL11/D13</f>
        <v>1.0869071860639612</v>
      </c>
    </row>
    <row r="14" spans="1:39" ht="15.75" thickBot="1">
      <c r="A14" s="306" t="s">
        <v>7</v>
      </c>
      <c r="B14" s="306"/>
      <c r="C14" s="3"/>
      <c r="D14" s="308" t="s">
        <v>8</v>
      </c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9" t="s">
        <v>9</v>
      </c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292" t="s">
        <v>10</v>
      </c>
      <c r="AI14" s="292"/>
      <c r="AJ14" s="292"/>
      <c r="AK14" s="319"/>
    </row>
    <row r="15" spans="1:39" ht="33.75">
      <c r="A15" s="307"/>
      <c r="B15" s="307"/>
      <c r="C15" s="4"/>
      <c r="D15" s="296" t="s">
        <v>12</v>
      </c>
      <c r="E15" s="296"/>
      <c r="F15" s="297"/>
      <c r="G15" s="298" t="s">
        <v>13</v>
      </c>
      <c r="H15" s="299"/>
      <c r="I15" s="300"/>
      <c r="J15" s="301" t="s">
        <v>14</v>
      </c>
      <c r="K15" s="302"/>
      <c r="L15" s="303"/>
      <c r="M15" s="301" t="s">
        <v>15</v>
      </c>
      <c r="N15" s="302"/>
      <c r="O15" s="302"/>
      <c r="P15" s="304" t="s">
        <v>12</v>
      </c>
      <c r="Q15" s="324"/>
      <c r="R15" s="305"/>
      <c r="S15" s="325" t="s">
        <v>13</v>
      </c>
      <c r="T15" s="326"/>
      <c r="U15" s="327"/>
      <c r="V15" s="325" t="s">
        <v>16</v>
      </c>
      <c r="W15" s="326"/>
      <c r="X15" s="327"/>
      <c r="Y15" s="325" t="s">
        <v>17</v>
      </c>
      <c r="Z15" s="326"/>
      <c r="AA15" s="327"/>
      <c r="AB15" s="325" t="s">
        <v>18</v>
      </c>
      <c r="AC15" s="326"/>
      <c r="AD15" s="327"/>
      <c r="AE15" s="325" t="s">
        <v>19</v>
      </c>
      <c r="AF15" s="326"/>
      <c r="AG15" s="327"/>
      <c r="AH15" s="104" t="s">
        <v>20</v>
      </c>
      <c r="AI15" s="6" t="s">
        <v>21</v>
      </c>
      <c r="AJ15" s="6" t="s">
        <v>22</v>
      </c>
      <c r="AK15" s="7" t="s">
        <v>23</v>
      </c>
      <c r="AL15" s="293" t="s">
        <v>11</v>
      </c>
    </row>
    <row r="16" spans="1:39">
      <c r="A16" s="311">
        <v>40664</v>
      </c>
      <c r="B16" s="8"/>
      <c r="C16" s="8"/>
      <c r="D16" s="9" t="s">
        <v>24</v>
      </c>
      <c r="E16" s="10" t="s">
        <v>25</v>
      </c>
      <c r="F16" s="11" t="s">
        <v>26</v>
      </c>
      <c r="G16" s="12" t="s">
        <v>24</v>
      </c>
      <c r="H16" s="10" t="s">
        <v>25</v>
      </c>
      <c r="I16" s="13" t="s">
        <v>26</v>
      </c>
      <c r="J16" s="12" t="s">
        <v>24</v>
      </c>
      <c r="K16" s="10" t="s">
        <v>25</v>
      </c>
      <c r="L16" s="13" t="s">
        <v>26</v>
      </c>
      <c r="M16" s="12" t="s">
        <v>24</v>
      </c>
      <c r="N16" s="10" t="s">
        <v>25</v>
      </c>
      <c r="O16" s="14" t="s">
        <v>26</v>
      </c>
      <c r="P16" s="15" t="s">
        <v>24</v>
      </c>
      <c r="Q16" s="10" t="s">
        <v>25</v>
      </c>
      <c r="R16" s="11" t="s">
        <v>26</v>
      </c>
      <c r="S16" s="9" t="s">
        <v>24</v>
      </c>
      <c r="T16" s="16" t="s">
        <v>25</v>
      </c>
      <c r="U16" s="11" t="s">
        <v>26</v>
      </c>
      <c r="V16" s="9" t="s">
        <v>24</v>
      </c>
      <c r="W16" s="16" t="s">
        <v>25</v>
      </c>
      <c r="X16" s="11" t="s">
        <v>26</v>
      </c>
      <c r="Y16" s="9" t="s">
        <v>24</v>
      </c>
      <c r="Z16" s="16" t="s">
        <v>25</v>
      </c>
      <c r="AA16" s="11" t="s">
        <v>26</v>
      </c>
      <c r="AB16" s="9" t="s">
        <v>24</v>
      </c>
      <c r="AC16" s="16" t="s">
        <v>25</v>
      </c>
      <c r="AD16" s="11" t="s">
        <v>26</v>
      </c>
      <c r="AE16" s="9" t="s">
        <v>24</v>
      </c>
      <c r="AF16" s="16" t="s">
        <v>25</v>
      </c>
      <c r="AG16" s="11" t="s">
        <v>26</v>
      </c>
      <c r="AH16" s="105" t="s">
        <v>26</v>
      </c>
      <c r="AI16" s="18" t="s">
        <v>26</v>
      </c>
      <c r="AJ16" s="18" t="s">
        <v>26</v>
      </c>
      <c r="AK16" s="19" t="s">
        <v>26</v>
      </c>
      <c r="AL16" s="294"/>
    </row>
    <row r="17" spans="1:40" ht="15">
      <c r="A17" s="312"/>
      <c r="B17" s="20" t="s">
        <v>27</v>
      </c>
      <c r="C17" s="20"/>
      <c r="D17" s="21">
        <f>G17+J17+M17</f>
        <v>26489150</v>
      </c>
      <c r="E17" s="22">
        <f>F17/D17</f>
        <v>0.73961502803978241</v>
      </c>
      <c r="F17" s="23">
        <f>I17+L17+O17</f>
        <v>19591773.420000002</v>
      </c>
      <c r="G17" s="24">
        <v>9249278</v>
      </c>
      <c r="H17" s="22">
        <f>I17/G17</f>
        <v>0.51745333311421715</v>
      </c>
      <c r="I17" s="25">
        <v>4786069.7300000004</v>
      </c>
      <c r="J17" s="24">
        <v>16775166</v>
      </c>
      <c r="K17" s="22">
        <f>L17/J17</f>
        <v>0.85410619423974699</v>
      </c>
      <c r="L17" s="25">
        <v>14327773.189999999</v>
      </c>
      <c r="M17" s="24">
        <v>464706</v>
      </c>
      <c r="N17" s="22">
        <f>O17/M17</f>
        <v>1.0284577776056258</v>
      </c>
      <c r="O17" s="26">
        <v>477930.5</v>
      </c>
      <c r="P17" s="24">
        <f>S17+V17+Y17+AB17+AE17</f>
        <v>67.773999999999987</v>
      </c>
      <c r="Q17" s="27">
        <f>R17/P17</f>
        <v>151597.38882167207</v>
      </c>
      <c r="R17" s="25">
        <f>U17+X17+AA17+AD17+AG17</f>
        <v>10274361.43</v>
      </c>
      <c r="S17" s="28">
        <v>39.975000000000001</v>
      </c>
      <c r="T17" s="27">
        <f>U17/S17</f>
        <v>149342.85903689807</v>
      </c>
      <c r="U17" s="25">
        <v>5969980.79</v>
      </c>
      <c r="V17" s="31">
        <v>1.177999999999999</v>
      </c>
      <c r="W17" s="27">
        <f>X17/V17</f>
        <v>374726.89303904958</v>
      </c>
      <c r="X17" s="25">
        <v>441428.28</v>
      </c>
      <c r="Y17" s="31">
        <v>0.26300000000000001</v>
      </c>
      <c r="Z17" s="27">
        <f>AA17/Y17</f>
        <v>437592.85171102657</v>
      </c>
      <c r="AA17" s="25">
        <v>115086.92</v>
      </c>
      <c r="AB17" s="31">
        <v>26.123999999999999</v>
      </c>
      <c r="AC17" s="27">
        <f>AD17/AB17</f>
        <v>142545.05052824988</v>
      </c>
      <c r="AD17" s="25">
        <v>3723846.9</v>
      </c>
      <c r="AE17" s="31">
        <v>0.23400000000000001</v>
      </c>
      <c r="AF17" s="27">
        <f>AG17/AE17</f>
        <v>102643.33333333333</v>
      </c>
      <c r="AG17" s="25">
        <v>24018.54</v>
      </c>
      <c r="AH17" s="30">
        <f>AI17+AJ17+AK17</f>
        <v>86614.66</v>
      </c>
      <c r="AI17" s="33">
        <v>19535.09</v>
      </c>
      <c r="AJ17" s="33">
        <v>5948.21</v>
      </c>
      <c r="AK17" s="34">
        <v>61131.360000000001</v>
      </c>
      <c r="AL17" s="295"/>
    </row>
    <row r="18" spans="1:40">
      <c r="A18" s="312"/>
      <c r="B18" s="36" t="s">
        <v>28</v>
      </c>
      <c r="C18" s="36"/>
      <c r="D18" s="37">
        <f>G18+J18+M18</f>
        <v>794718</v>
      </c>
      <c r="E18" s="38"/>
      <c r="F18" s="39"/>
      <c r="G18" s="40">
        <v>269338</v>
      </c>
      <c r="H18" s="41"/>
      <c r="I18" s="42"/>
      <c r="J18" s="40">
        <v>525380</v>
      </c>
      <c r="K18" s="41"/>
      <c r="L18" s="42"/>
      <c r="M18" s="40"/>
      <c r="N18" s="43"/>
      <c r="O18" s="44"/>
      <c r="P18" s="40"/>
      <c r="Q18" s="43"/>
      <c r="R18" s="42"/>
      <c r="S18" s="45"/>
      <c r="T18" s="41"/>
      <c r="U18" s="42"/>
      <c r="V18" s="45"/>
      <c r="W18" s="41"/>
      <c r="X18" s="42"/>
      <c r="Y18" s="45"/>
      <c r="Z18" s="41"/>
      <c r="AA18" s="42"/>
      <c r="AB18" s="45"/>
      <c r="AC18" s="41"/>
      <c r="AD18" s="42"/>
      <c r="AE18" s="45"/>
      <c r="AF18" s="41"/>
      <c r="AG18" s="42"/>
      <c r="AH18" s="46"/>
      <c r="AI18" s="48"/>
      <c r="AJ18" s="48"/>
      <c r="AK18" s="49"/>
      <c r="AL18" s="35"/>
    </row>
    <row r="19" spans="1:40" ht="15">
      <c r="A19" s="312"/>
      <c r="B19" s="51" t="s">
        <v>29</v>
      </c>
      <c r="C19" s="51"/>
      <c r="D19" s="52">
        <f>J19+M19</f>
        <v>806507</v>
      </c>
      <c r="E19" s="53">
        <f>F19/D19</f>
        <v>0.78608840344845121</v>
      </c>
      <c r="F19" s="54">
        <f>I19+L19+O19</f>
        <v>633985.80000000005</v>
      </c>
      <c r="G19" s="55"/>
      <c r="H19" s="53"/>
      <c r="I19" s="56"/>
      <c r="J19" s="55">
        <v>936</v>
      </c>
      <c r="K19" s="53">
        <f>L19/J19</f>
        <v>3.205128205128205E-3</v>
      </c>
      <c r="L19" s="56">
        <v>3</v>
      </c>
      <c r="M19" s="55">
        <v>805571</v>
      </c>
      <c r="N19" s="53">
        <f>O19/M19</f>
        <v>0.78699804238235993</v>
      </c>
      <c r="O19" s="58">
        <v>633982.80000000005</v>
      </c>
      <c r="P19" s="55"/>
      <c r="Q19" s="53"/>
      <c r="R19" s="56"/>
      <c r="S19" s="59"/>
      <c r="T19" s="53"/>
      <c r="U19" s="56"/>
      <c r="V19" s="59"/>
      <c r="W19" s="53"/>
      <c r="X19" s="56"/>
      <c r="Y19" s="59"/>
      <c r="Z19" s="53"/>
      <c r="AA19" s="56"/>
      <c r="AB19" s="59"/>
      <c r="AC19" s="53"/>
      <c r="AD19" s="56"/>
      <c r="AE19" s="59"/>
      <c r="AF19" s="53"/>
      <c r="AG19" s="56"/>
      <c r="AH19" s="60"/>
      <c r="AI19" s="62"/>
      <c r="AJ19" s="62"/>
      <c r="AK19" s="57"/>
      <c r="AL19" s="35"/>
    </row>
    <row r="20" spans="1:40" ht="15">
      <c r="A20" s="312"/>
      <c r="B20" s="36" t="s">
        <v>28</v>
      </c>
      <c r="C20" s="36"/>
      <c r="D20" s="63">
        <f>G20+J20+M20</f>
        <v>936</v>
      </c>
      <c r="E20" s="64"/>
      <c r="F20" s="65"/>
      <c r="G20" s="66"/>
      <c r="H20" s="67"/>
      <c r="I20" s="65"/>
      <c r="J20" s="68">
        <v>936</v>
      </c>
      <c r="K20" s="67"/>
      <c r="L20" s="65">
        <v>3</v>
      </c>
      <c r="M20" s="66"/>
      <c r="N20" s="67"/>
      <c r="O20" s="69"/>
      <c r="P20" s="66"/>
      <c r="Q20" s="67"/>
      <c r="R20" s="65"/>
      <c r="S20" s="71"/>
      <c r="T20" s="67"/>
      <c r="U20" s="65"/>
      <c r="V20" s="71"/>
      <c r="W20" s="67"/>
      <c r="X20" s="65"/>
      <c r="Y20" s="71"/>
      <c r="Z20" s="67"/>
      <c r="AA20" s="65"/>
      <c r="AB20" s="71"/>
      <c r="AC20" s="67"/>
      <c r="AD20" s="65"/>
      <c r="AE20" s="71"/>
      <c r="AF20" s="67"/>
      <c r="AG20" s="65"/>
      <c r="AH20" s="72"/>
      <c r="AI20" s="8"/>
      <c r="AJ20" s="8"/>
      <c r="AK20" s="73"/>
      <c r="AL20" s="106"/>
    </row>
    <row r="21" spans="1:40">
      <c r="A21" s="313"/>
      <c r="B21" s="8"/>
      <c r="C21" s="8"/>
      <c r="D21" s="75"/>
      <c r="E21" s="76"/>
      <c r="F21" s="77"/>
      <c r="G21" s="78"/>
      <c r="H21" s="79"/>
      <c r="I21" s="77"/>
      <c r="J21" s="78"/>
      <c r="K21" s="79"/>
      <c r="L21" s="77"/>
      <c r="M21" s="78"/>
      <c r="N21" s="79"/>
      <c r="O21" s="80"/>
      <c r="P21" s="66"/>
      <c r="Q21" s="67"/>
      <c r="R21" s="65"/>
      <c r="S21" s="71"/>
      <c r="T21" s="67"/>
      <c r="U21" s="65"/>
      <c r="V21" s="71"/>
      <c r="W21" s="67"/>
      <c r="X21" s="65"/>
      <c r="Y21" s="71"/>
      <c r="Z21" s="67"/>
      <c r="AA21" s="65"/>
      <c r="AB21" s="71"/>
      <c r="AC21" s="67"/>
      <c r="AD21" s="65"/>
      <c r="AE21" s="71"/>
      <c r="AF21" s="67"/>
      <c r="AG21" s="65"/>
      <c r="AH21" s="81"/>
      <c r="AI21" s="74"/>
      <c r="AJ21" s="74"/>
      <c r="AK21" s="82"/>
      <c r="AL21" s="8"/>
    </row>
    <row r="22" spans="1:40" ht="15.75" thickBot="1">
      <c r="A22" s="107"/>
      <c r="B22" s="107" t="s">
        <v>12</v>
      </c>
      <c r="C22" s="108">
        <f>F22+R22</f>
        <v>29232149.050000001</v>
      </c>
      <c r="D22" s="109">
        <f>G22+J22+M22</f>
        <v>25682643</v>
      </c>
      <c r="E22" s="110"/>
      <c r="F22" s="111">
        <f>I22+L22+O22</f>
        <v>18957787.620000001</v>
      </c>
      <c r="G22" s="112">
        <f>G17-G19</f>
        <v>9249278</v>
      </c>
      <c r="H22" s="113"/>
      <c r="I22" s="111">
        <f t="shared" ref="I22:O22" si="2">I17-I19</f>
        <v>4786069.7300000004</v>
      </c>
      <c r="J22" s="112">
        <f>J17-J19</f>
        <v>16774230</v>
      </c>
      <c r="K22" s="113">
        <f t="shared" si="2"/>
        <v>0.85090106603461879</v>
      </c>
      <c r="L22" s="111">
        <f t="shared" si="2"/>
        <v>14327770.189999999</v>
      </c>
      <c r="M22" s="112">
        <f t="shared" si="2"/>
        <v>-340865</v>
      </c>
      <c r="N22" s="113"/>
      <c r="O22" s="114">
        <f t="shared" si="2"/>
        <v>-156052.30000000005</v>
      </c>
      <c r="P22" s="112">
        <f>S22+V22+Y22+AB22+AE22</f>
        <v>67.773999999999987</v>
      </c>
      <c r="Q22" s="113"/>
      <c r="R22" s="111">
        <f>U22+X22+AA22+AD22+AG22</f>
        <v>10274361.43</v>
      </c>
      <c r="S22" s="109">
        <f>S17-S19</f>
        <v>39.975000000000001</v>
      </c>
      <c r="T22" s="113"/>
      <c r="U22" s="111">
        <f t="shared" ref="U22:AG22" si="3">U17-U19</f>
        <v>5969980.79</v>
      </c>
      <c r="V22" s="109">
        <f t="shared" si="3"/>
        <v>1.177999999999999</v>
      </c>
      <c r="W22" s="113"/>
      <c r="X22" s="111">
        <f t="shared" si="3"/>
        <v>441428.28</v>
      </c>
      <c r="Y22" s="109">
        <f t="shared" si="3"/>
        <v>0.26300000000000001</v>
      </c>
      <c r="Z22" s="113"/>
      <c r="AA22" s="111">
        <f t="shared" si="3"/>
        <v>115086.92</v>
      </c>
      <c r="AB22" s="109">
        <f t="shared" si="3"/>
        <v>26.123999999999999</v>
      </c>
      <c r="AC22" s="113"/>
      <c r="AD22" s="111">
        <f t="shared" si="3"/>
        <v>3723846.9</v>
      </c>
      <c r="AE22" s="109">
        <f t="shared" si="3"/>
        <v>0.23400000000000001</v>
      </c>
      <c r="AF22" s="113"/>
      <c r="AG22" s="111">
        <f t="shared" si="3"/>
        <v>24018.54</v>
      </c>
      <c r="AH22" s="115">
        <f>AI22+AJ22+AK22</f>
        <v>86614.66</v>
      </c>
      <c r="AI22" s="108">
        <f>AI17-AI19</f>
        <v>19535.09</v>
      </c>
      <c r="AJ22" s="108">
        <f>AJ17-AJ19</f>
        <v>5948.21</v>
      </c>
      <c r="AK22" s="116">
        <f>AK17-AK19</f>
        <v>61131.360000000001</v>
      </c>
      <c r="AL22" s="117">
        <f>AH22+F22+R22</f>
        <v>29318763.710000001</v>
      </c>
      <c r="AM22" s="118"/>
    </row>
    <row r="23" spans="1:40" ht="15">
      <c r="C23">
        <f>C22/D24</f>
        <v>1.17455147626811</v>
      </c>
      <c r="D23" s="94">
        <f>D24-D22+D18</f>
        <v>0</v>
      </c>
      <c r="E23">
        <f>E24/E13</f>
        <v>1.0837403366392844</v>
      </c>
      <c r="F23" s="119">
        <v>18957787.620000001</v>
      </c>
      <c r="M23" s="118">
        <f>M17+M19</f>
        <v>1270277</v>
      </c>
      <c r="P23">
        <v>67.774000000000001</v>
      </c>
      <c r="R23" s="119">
        <v>10274361.43</v>
      </c>
      <c r="AM23">
        <f>AL22/D24</f>
        <v>1.1780316643512869</v>
      </c>
      <c r="AN23" s="119"/>
    </row>
    <row r="24" spans="1:40" ht="15.75" thickBot="1">
      <c r="B24" s="98" t="s">
        <v>30</v>
      </c>
      <c r="D24" s="120">
        <v>24887925</v>
      </c>
      <c r="E24" s="99">
        <f>C22/D24</f>
        <v>1.17455147626811</v>
      </c>
      <c r="F24" s="118">
        <f>F22-F23</f>
        <v>0</v>
      </c>
      <c r="M24">
        <f>M23/D24</f>
        <v>5.1039891835096739E-2</v>
      </c>
      <c r="P24" s="118">
        <f>P23-P22</f>
        <v>0</v>
      </c>
      <c r="Q24" s="118"/>
      <c r="R24" s="121">
        <f>R22-R23</f>
        <v>0</v>
      </c>
      <c r="AL24" s="119"/>
    </row>
    <row r="25" spans="1:40" ht="15.75" customHeight="1" thickBot="1">
      <c r="A25" s="306" t="s">
        <v>7</v>
      </c>
      <c r="B25" s="306"/>
      <c r="C25" s="3"/>
      <c r="D25" s="314" t="s">
        <v>8</v>
      </c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6"/>
      <c r="P25" s="317" t="s">
        <v>9</v>
      </c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292" t="s">
        <v>10</v>
      </c>
      <c r="AI25" s="292"/>
      <c r="AJ25" s="292"/>
      <c r="AK25" s="319"/>
    </row>
    <row r="26" spans="1:40" ht="33.75" customHeight="1">
      <c r="A26" s="307"/>
      <c r="B26" s="307"/>
      <c r="C26" s="4"/>
      <c r="D26" s="320" t="s">
        <v>12</v>
      </c>
      <c r="E26" s="296"/>
      <c r="F26" s="297"/>
      <c r="G26" s="321" t="s">
        <v>13</v>
      </c>
      <c r="H26" s="322"/>
      <c r="I26" s="323"/>
      <c r="J26" s="301" t="s">
        <v>14</v>
      </c>
      <c r="K26" s="302"/>
      <c r="L26" s="303"/>
      <c r="M26" s="301" t="s">
        <v>15</v>
      </c>
      <c r="N26" s="302"/>
      <c r="O26" s="303"/>
      <c r="P26" s="320" t="s">
        <v>12</v>
      </c>
      <c r="Q26" s="296"/>
      <c r="R26" s="297"/>
      <c r="S26" s="301" t="s">
        <v>13</v>
      </c>
      <c r="T26" s="302"/>
      <c r="U26" s="303"/>
      <c r="V26" s="301" t="s">
        <v>16</v>
      </c>
      <c r="W26" s="302"/>
      <c r="X26" s="303"/>
      <c r="Y26" s="301" t="s">
        <v>17</v>
      </c>
      <c r="Z26" s="302"/>
      <c r="AA26" s="303"/>
      <c r="AB26" s="301" t="s">
        <v>18</v>
      </c>
      <c r="AC26" s="302"/>
      <c r="AD26" s="303"/>
      <c r="AE26" s="301" t="s">
        <v>19</v>
      </c>
      <c r="AF26" s="302"/>
      <c r="AG26" s="303"/>
      <c r="AH26" s="104" t="s">
        <v>20</v>
      </c>
      <c r="AI26" s="6" t="s">
        <v>21</v>
      </c>
      <c r="AJ26" s="6" t="s">
        <v>22</v>
      </c>
      <c r="AK26" s="7" t="s">
        <v>23</v>
      </c>
      <c r="AL26" s="293" t="s">
        <v>11</v>
      </c>
    </row>
    <row r="27" spans="1:40">
      <c r="A27" s="311">
        <v>40695</v>
      </c>
      <c r="B27" s="8"/>
      <c r="C27" s="8"/>
      <c r="D27" s="9" t="s">
        <v>24</v>
      </c>
      <c r="E27" s="10" t="s">
        <v>25</v>
      </c>
      <c r="F27" s="11" t="s">
        <v>26</v>
      </c>
      <c r="G27" s="12" t="s">
        <v>24</v>
      </c>
      <c r="H27" s="10" t="s">
        <v>25</v>
      </c>
      <c r="I27" s="13" t="s">
        <v>26</v>
      </c>
      <c r="J27" s="12" t="s">
        <v>24</v>
      </c>
      <c r="K27" s="10" t="s">
        <v>25</v>
      </c>
      <c r="L27" s="13" t="s">
        <v>26</v>
      </c>
      <c r="M27" s="12" t="s">
        <v>24</v>
      </c>
      <c r="N27" s="10" t="s">
        <v>25</v>
      </c>
      <c r="O27" s="14" t="s">
        <v>26</v>
      </c>
      <c r="P27" s="15" t="s">
        <v>24</v>
      </c>
      <c r="Q27" s="10" t="s">
        <v>25</v>
      </c>
      <c r="R27" s="11" t="s">
        <v>26</v>
      </c>
      <c r="S27" s="9" t="s">
        <v>24</v>
      </c>
      <c r="T27" s="16" t="s">
        <v>25</v>
      </c>
      <c r="U27" s="11" t="s">
        <v>26</v>
      </c>
      <c r="V27" s="9" t="s">
        <v>24</v>
      </c>
      <c r="W27" s="16" t="s">
        <v>25</v>
      </c>
      <c r="X27" s="11" t="s">
        <v>26</v>
      </c>
      <c r="Y27" s="9" t="s">
        <v>24</v>
      </c>
      <c r="Z27" s="16" t="s">
        <v>25</v>
      </c>
      <c r="AA27" s="11" t="s">
        <v>26</v>
      </c>
      <c r="AB27" s="9" t="s">
        <v>24</v>
      </c>
      <c r="AC27" s="16" t="s">
        <v>25</v>
      </c>
      <c r="AD27" s="11" t="s">
        <v>26</v>
      </c>
      <c r="AE27" s="9" t="s">
        <v>24</v>
      </c>
      <c r="AF27" s="16" t="s">
        <v>25</v>
      </c>
      <c r="AG27" s="11" t="s">
        <v>26</v>
      </c>
      <c r="AH27" s="105" t="s">
        <v>26</v>
      </c>
      <c r="AI27" s="18" t="s">
        <v>26</v>
      </c>
      <c r="AJ27" s="18" t="s">
        <v>26</v>
      </c>
      <c r="AK27" s="19" t="s">
        <v>26</v>
      </c>
      <c r="AL27" s="294"/>
    </row>
    <row r="28" spans="1:40" ht="15">
      <c r="A28" s="328"/>
      <c r="B28" s="20" t="s">
        <v>27</v>
      </c>
      <c r="C28" s="20"/>
      <c r="D28" s="21">
        <f>G28+J28+M28</f>
        <v>19914196</v>
      </c>
      <c r="E28" s="22">
        <f>F28/D28</f>
        <v>0.75355045917997387</v>
      </c>
      <c r="F28" s="23">
        <f>I28+L28+O28</f>
        <v>15006351.539999999</v>
      </c>
      <c r="G28" s="122">
        <v>7848597</v>
      </c>
      <c r="H28" s="123">
        <f>I28/G28</f>
        <v>0.46400644981517075</v>
      </c>
      <c r="I28" s="124">
        <v>3641799.63</v>
      </c>
      <c r="J28" s="122">
        <v>11635720</v>
      </c>
      <c r="K28" s="123">
        <f>L28/J28</f>
        <v>0.93671997865194423</v>
      </c>
      <c r="L28" s="124">
        <v>10899411.390000001</v>
      </c>
      <c r="M28" s="122">
        <v>429879</v>
      </c>
      <c r="N28" s="123">
        <f>O28/M28</f>
        <v>1.0820266167921671</v>
      </c>
      <c r="O28" s="125">
        <v>465140.52</v>
      </c>
      <c r="P28" s="122">
        <f>S28+V28+Y28+AB28+AE28</f>
        <v>57.212000000000003</v>
      </c>
      <c r="Q28" s="126">
        <f>R28/P28</f>
        <v>100052.87474655667</v>
      </c>
      <c r="R28" s="124">
        <f>U28+X28+AA28+AD28+AG28</f>
        <v>5724225.0700000003</v>
      </c>
      <c r="S28" s="127">
        <v>35.468000000000004</v>
      </c>
      <c r="T28" s="126">
        <f>U28/S28</f>
        <v>81149.609789105656</v>
      </c>
      <c r="U28" s="124">
        <v>2878214.36</v>
      </c>
      <c r="V28" s="128">
        <v>0.91900000000000037</v>
      </c>
      <c r="W28" s="126">
        <f>X28/V28</f>
        <v>373737.1490750814</v>
      </c>
      <c r="X28" s="124">
        <v>343464.43999999994</v>
      </c>
      <c r="Y28" s="128">
        <v>0.255</v>
      </c>
      <c r="Z28" s="126">
        <f>AA28/Y28</f>
        <v>411273.01960784313</v>
      </c>
      <c r="AA28" s="124">
        <v>104874.62</v>
      </c>
      <c r="AB28" s="128">
        <v>20.41</v>
      </c>
      <c r="AC28" s="126">
        <f>AD28/AB28</f>
        <v>116690.69279764821</v>
      </c>
      <c r="AD28" s="124">
        <v>2381657.04</v>
      </c>
      <c r="AE28" s="128">
        <v>0.16</v>
      </c>
      <c r="AF28" s="126">
        <f>AG28/AE28</f>
        <v>100091.3125</v>
      </c>
      <c r="AG28" s="124">
        <v>16014.61</v>
      </c>
      <c r="AH28" s="129">
        <f>AI28+AJ28+AK28</f>
        <v>75995.122158314945</v>
      </c>
      <c r="AI28" s="130">
        <v>17321.994594071966</v>
      </c>
      <c r="AJ28" s="130">
        <v>4467.2299999999996</v>
      </c>
      <c r="AK28" s="131">
        <v>54205.89756424298</v>
      </c>
      <c r="AL28" s="295"/>
    </row>
    <row r="29" spans="1:40">
      <c r="A29" s="328"/>
      <c r="B29" s="36" t="s">
        <v>28</v>
      </c>
      <c r="C29" s="36"/>
      <c r="D29" s="37">
        <f>G29+J29+M29</f>
        <v>525026</v>
      </c>
      <c r="E29" s="38"/>
      <c r="F29" s="39"/>
      <c r="G29" s="132">
        <v>228603</v>
      </c>
      <c r="H29" s="133"/>
      <c r="I29" s="134"/>
      <c r="J29" s="132">
        <v>296423</v>
      </c>
      <c r="K29" s="133"/>
      <c r="L29" s="134"/>
      <c r="M29" s="132"/>
      <c r="N29" s="135"/>
      <c r="O29" s="136"/>
      <c r="P29" s="132"/>
      <c r="Q29" s="135"/>
      <c r="R29" s="134"/>
      <c r="S29" s="137"/>
      <c r="T29" s="133"/>
      <c r="U29" s="134"/>
      <c r="V29" s="137"/>
      <c r="W29" s="133"/>
      <c r="X29" s="134"/>
      <c r="Y29" s="137"/>
      <c r="Z29" s="133"/>
      <c r="AA29" s="134"/>
      <c r="AB29" s="137"/>
      <c r="AC29" s="133"/>
      <c r="AD29" s="134"/>
      <c r="AE29" s="137"/>
      <c r="AF29" s="133"/>
      <c r="AG29" s="134"/>
      <c r="AH29" s="138"/>
      <c r="AI29" s="139"/>
      <c r="AJ29" s="139"/>
      <c r="AK29" s="140"/>
      <c r="AL29" s="35"/>
    </row>
    <row r="30" spans="1:40" ht="15">
      <c r="A30" s="328"/>
      <c r="B30" s="51" t="s">
        <v>29</v>
      </c>
      <c r="C30" s="51"/>
      <c r="D30" s="52">
        <f>J30+M30</f>
        <v>697842</v>
      </c>
      <c r="E30" s="53">
        <f>F30/D30</f>
        <v>0.80361263724453391</v>
      </c>
      <c r="F30" s="54">
        <f>I30+L30+O30</f>
        <v>560794.65</v>
      </c>
      <c r="G30" s="141"/>
      <c r="H30" s="142"/>
      <c r="I30" s="143"/>
      <c r="J30" s="141">
        <v>19001</v>
      </c>
      <c r="K30" s="142">
        <f>L30/J30</f>
        <v>1.5788642703015631E-4</v>
      </c>
      <c r="L30" s="143">
        <v>3</v>
      </c>
      <c r="M30" s="141">
        <v>678841</v>
      </c>
      <c r="N30" s="142">
        <f>O30/M30</f>
        <v>0.82610162026159295</v>
      </c>
      <c r="O30" s="144">
        <v>560791.65</v>
      </c>
      <c r="P30" s="141"/>
      <c r="Q30" s="142"/>
      <c r="R30" s="143"/>
      <c r="S30" s="145"/>
      <c r="T30" s="142"/>
      <c r="U30" s="143"/>
      <c r="V30" s="145"/>
      <c r="W30" s="142"/>
      <c r="X30" s="143"/>
      <c r="Y30" s="145"/>
      <c r="Z30" s="142"/>
      <c r="AA30" s="143"/>
      <c r="AB30" s="145"/>
      <c r="AC30" s="142"/>
      <c r="AD30" s="143"/>
      <c r="AE30" s="145"/>
      <c r="AF30" s="142"/>
      <c r="AG30" s="143"/>
      <c r="AH30" s="146"/>
      <c r="AI30" s="147"/>
      <c r="AJ30" s="147"/>
      <c r="AK30" s="148"/>
      <c r="AL30" s="35"/>
    </row>
    <row r="31" spans="1:40" ht="15">
      <c r="A31" s="328"/>
      <c r="B31" s="36" t="s">
        <v>28</v>
      </c>
      <c r="C31" s="36"/>
      <c r="D31" s="63">
        <f>G31+J31+M31</f>
        <v>19001</v>
      </c>
      <c r="E31" s="64"/>
      <c r="F31" s="65"/>
      <c r="G31" s="149"/>
      <c r="H31" s="150"/>
      <c r="I31" s="151"/>
      <c r="J31" s="141">
        <v>19001</v>
      </c>
      <c r="K31" s="150"/>
      <c r="L31" s="151">
        <v>3</v>
      </c>
      <c r="M31" s="149"/>
      <c r="N31" s="150"/>
      <c r="O31" s="152"/>
      <c r="P31" s="149"/>
      <c r="Q31" s="150"/>
      <c r="R31" s="151"/>
      <c r="S31" s="153"/>
      <c r="T31" s="150"/>
      <c r="U31" s="151"/>
      <c r="V31" s="153"/>
      <c r="W31" s="150"/>
      <c r="X31" s="151"/>
      <c r="Y31" s="153"/>
      <c r="Z31" s="150"/>
      <c r="AA31" s="151"/>
      <c r="AB31" s="153"/>
      <c r="AC31" s="150"/>
      <c r="AD31" s="151"/>
      <c r="AE31" s="153"/>
      <c r="AF31" s="150"/>
      <c r="AG31" s="151"/>
      <c r="AH31" s="154"/>
      <c r="AI31" s="155"/>
      <c r="AJ31" s="155"/>
      <c r="AK31" s="156"/>
      <c r="AL31" s="106"/>
    </row>
    <row r="32" spans="1:40" ht="15">
      <c r="A32" s="329"/>
      <c r="B32" s="8"/>
      <c r="C32" s="8"/>
      <c r="D32" s="75"/>
      <c r="E32" s="76"/>
      <c r="F32" s="77"/>
      <c r="G32" s="157"/>
      <c r="H32" s="158"/>
      <c r="I32" s="159"/>
      <c r="J32" s="157"/>
      <c r="K32" s="158"/>
      <c r="L32" s="159"/>
      <c r="M32" s="157"/>
      <c r="N32" s="158"/>
      <c r="O32" s="160"/>
      <c r="P32" s="149"/>
      <c r="Q32" s="150"/>
      <c r="R32" s="151"/>
      <c r="S32" s="153"/>
      <c r="T32" s="150"/>
      <c r="U32" s="151"/>
      <c r="V32" s="153"/>
      <c r="W32" s="150"/>
      <c r="X32" s="151"/>
      <c r="Y32" s="153"/>
      <c r="Z32" s="150"/>
      <c r="AA32" s="151"/>
      <c r="AB32" s="153"/>
      <c r="AC32" s="150"/>
      <c r="AD32" s="151"/>
      <c r="AE32" s="153"/>
      <c r="AF32" s="150"/>
      <c r="AG32" s="151"/>
      <c r="AH32" s="161"/>
      <c r="AI32" s="162"/>
      <c r="AJ32" s="162"/>
      <c r="AK32" s="163"/>
      <c r="AL32" s="8"/>
    </row>
    <row r="33" spans="1:39" ht="15.75" thickBot="1">
      <c r="A33" s="107"/>
      <c r="B33" s="107" t="s">
        <v>12</v>
      </c>
      <c r="C33" s="108">
        <f>F33+R33</f>
        <v>20169781.960000001</v>
      </c>
      <c r="D33" s="109">
        <f>G33+J33+M33</f>
        <v>19216354</v>
      </c>
      <c r="E33" s="110"/>
      <c r="F33" s="111">
        <f>I33+L33+O33</f>
        <v>14445556.889999999</v>
      </c>
      <c r="G33" s="112">
        <f>G28-G30</f>
        <v>7848597</v>
      </c>
      <c r="H33" s="113"/>
      <c r="I33" s="111">
        <f t="shared" ref="I33" si="4">I28-I30</f>
        <v>3641799.63</v>
      </c>
      <c r="J33" s="112">
        <f>J28-J30</f>
        <v>11616719</v>
      </c>
      <c r="K33" s="113">
        <f t="shared" ref="K33:M33" si="5">K28-K30</f>
        <v>0.93656209222491404</v>
      </c>
      <c r="L33" s="111">
        <f t="shared" si="5"/>
        <v>10899408.390000001</v>
      </c>
      <c r="M33" s="112">
        <f t="shared" si="5"/>
        <v>-248962</v>
      </c>
      <c r="N33" s="113"/>
      <c r="O33" s="114">
        <f t="shared" ref="O33" si="6">O28-O30</f>
        <v>-95651.13</v>
      </c>
      <c r="P33" s="112">
        <f>S33+V33+Y33+AB33+AE33</f>
        <v>57.212000000000003</v>
      </c>
      <c r="Q33" s="113"/>
      <c r="R33" s="111">
        <f>U33+X33+AA33+AD33+AG33</f>
        <v>5724225.0700000003</v>
      </c>
      <c r="S33" s="109">
        <f>S28-S30</f>
        <v>35.468000000000004</v>
      </c>
      <c r="T33" s="113"/>
      <c r="U33" s="111">
        <f t="shared" ref="U33:V33" si="7">U28-U30</f>
        <v>2878214.36</v>
      </c>
      <c r="V33" s="109">
        <f t="shared" si="7"/>
        <v>0.91900000000000037</v>
      </c>
      <c r="W33" s="113"/>
      <c r="X33" s="111">
        <f t="shared" ref="X33:Y33" si="8">X28-X30</f>
        <v>343464.43999999994</v>
      </c>
      <c r="Y33" s="109">
        <f t="shared" si="8"/>
        <v>0.255</v>
      </c>
      <c r="Z33" s="113"/>
      <c r="AA33" s="111">
        <f t="shared" ref="AA33:AB33" si="9">AA28-AA30</f>
        <v>104874.62</v>
      </c>
      <c r="AB33" s="109">
        <f t="shared" si="9"/>
        <v>20.41</v>
      </c>
      <c r="AC33" s="113"/>
      <c r="AD33" s="111">
        <f t="shared" ref="AD33:AE33" si="10">AD28-AD30</f>
        <v>2381657.04</v>
      </c>
      <c r="AE33" s="109">
        <f t="shared" si="10"/>
        <v>0.16</v>
      </c>
      <c r="AF33" s="113"/>
      <c r="AG33" s="111">
        <f t="shared" ref="AG33" si="11">AG28-AG30</f>
        <v>16014.61</v>
      </c>
      <c r="AH33" s="115">
        <f>AI33+AJ33+AK33</f>
        <v>75995.122158314945</v>
      </c>
      <c r="AI33" s="108">
        <f>AI28-AI30</f>
        <v>17321.994594071966</v>
      </c>
      <c r="AJ33" s="108">
        <f>AJ28-AJ30</f>
        <v>4467.2299999999996</v>
      </c>
      <c r="AK33" s="116">
        <f>AK28-AK30</f>
        <v>54205.89756424298</v>
      </c>
      <c r="AL33" s="117">
        <f>AH33+F33+R33</f>
        <v>20245777.082158312</v>
      </c>
      <c r="AM33" s="118"/>
    </row>
    <row r="34" spans="1:39" ht="15">
      <c r="D34" s="94">
        <f>D35-D33+D29</f>
        <v>0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</row>
    <row r="35" spans="1:39">
      <c r="C35">
        <f>C33/D35</f>
        <v>1.0790983904407434</v>
      </c>
      <c r="D35" s="120">
        <v>18691328</v>
      </c>
      <c r="E35" s="118"/>
      <c r="F35" s="118"/>
      <c r="G35" s="118"/>
      <c r="H35" s="118"/>
      <c r="I35" s="118"/>
      <c r="J35" s="118"/>
      <c r="K35" s="118"/>
      <c r="L35" s="118"/>
      <c r="M35" s="164">
        <f>(M28+M30)/D35</f>
        <v>5.9317347595633653E-2</v>
      </c>
      <c r="N35" s="118"/>
      <c r="O35" s="118"/>
      <c r="P35" s="118"/>
      <c r="Q35" s="118"/>
      <c r="AM35">
        <f>AL33/D35</f>
        <v>1.0831641862021957</v>
      </c>
    </row>
    <row r="36" spans="1:39">
      <c r="D36" s="118"/>
      <c r="E36" s="118"/>
      <c r="F36" s="118"/>
      <c r="G36" s="118"/>
      <c r="H36" s="118"/>
      <c r="I36" s="118"/>
      <c r="J36" s="118"/>
      <c r="K36" s="118"/>
      <c r="L36" s="118"/>
      <c r="M36" s="118">
        <f>M35/D35</f>
        <v>3.1735223733505534E-9</v>
      </c>
      <c r="N36" s="118">
        <f>N28/K28</f>
        <v>1.1551228130623807</v>
      </c>
      <c r="O36" s="118">
        <f>N30/K28</f>
        <v>0.8819088298409683</v>
      </c>
      <c r="P36" s="118"/>
      <c r="Q36" s="118"/>
    </row>
    <row r="37" spans="1:39" ht="13.5" thickBot="1"/>
    <row r="38" spans="1:39" ht="15.75" thickBot="1">
      <c r="A38" s="306" t="s">
        <v>7</v>
      </c>
      <c r="B38" s="306"/>
      <c r="C38" s="3"/>
      <c r="D38" s="314" t="s">
        <v>8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6"/>
      <c r="P38" s="317" t="s">
        <v>9</v>
      </c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292" t="s">
        <v>10</v>
      </c>
      <c r="AI38" s="292"/>
      <c r="AJ38" s="292"/>
      <c r="AK38" s="319"/>
    </row>
    <row r="39" spans="1:39" ht="33.75">
      <c r="A39" s="307"/>
      <c r="B39" s="307"/>
      <c r="C39" s="4"/>
      <c r="D39" s="320" t="s">
        <v>12</v>
      </c>
      <c r="E39" s="296"/>
      <c r="F39" s="297"/>
      <c r="G39" s="321" t="s">
        <v>13</v>
      </c>
      <c r="H39" s="322"/>
      <c r="I39" s="323"/>
      <c r="J39" s="301" t="s">
        <v>14</v>
      </c>
      <c r="K39" s="302"/>
      <c r="L39" s="303"/>
      <c r="M39" s="301" t="s">
        <v>15</v>
      </c>
      <c r="N39" s="302"/>
      <c r="O39" s="303"/>
      <c r="P39" s="320" t="s">
        <v>12</v>
      </c>
      <c r="Q39" s="296"/>
      <c r="R39" s="297"/>
      <c r="S39" s="301" t="s">
        <v>13</v>
      </c>
      <c r="T39" s="302"/>
      <c r="U39" s="303"/>
      <c r="V39" s="301" t="s">
        <v>16</v>
      </c>
      <c r="W39" s="302"/>
      <c r="X39" s="303"/>
      <c r="Y39" s="301" t="s">
        <v>17</v>
      </c>
      <c r="Z39" s="302"/>
      <c r="AA39" s="303"/>
      <c r="AB39" s="301" t="s">
        <v>18</v>
      </c>
      <c r="AC39" s="302"/>
      <c r="AD39" s="303"/>
      <c r="AE39" s="301" t="s">
        <v>19</v>
      </c>
      <c r="AF39" s="302"/>
      <c r="AG39" s="303"/>
      <c r="AH39" s="104" t="s">
        <v>20</v>
      </c>
      <c r="AI39" s="6" t="s">
        <v>21</v>
      </c>
      <c r="AJ39" s="6" t="s">
        <v>22</v>
      </c>
      <c r="AK39" s="7" t="s">
        <v>23</v>
      </c>
      <c r="AL39" s="293" t="s">
        <v>11</v>
      </c>
    </row>
    <row r="40" spans="1:39">
      <c r="A40" s="311">
        <v>40725</v>
      </c>
      <c r="B40" s="8"/>
      <c r="C40" s="8"/>
      <c r="D40" s="9" t="s">
        <v>24</v>
      </c>
      <c r="E40" s="10" t="s">
        <v>25</v>
      </c>
      <c r="F40" s="11" t="s">
        <v>26</v>
      </c>
      <c r="G40" s="12" t="s">
        <v>24</v>
      </c>
      <c r="H40" s="10" t="s">
        <v>25</v>
      </c>
      <c r="I40" s="13" t="s">
        <v>26</v>
      </c>
      <c r="J40" s="12" t="s">
        <v>24</v>
      </c>
      <c r="K40" s="10" t="s">
        <v>25</v>
      </c>
      <c r="L40" s="13" t="s">
        <v>26</v>
      </c>
      <c r="M40" s="12" t="s">
        <v>24</v>
      </c>
      <c r="N40" s="10" t="s">
        <v>25</v>
      </c>
      <c r="O40" s="14" t="s">
        <v>26</v>
      </c>
      <c r="P40" s="15" t="s">
        <v>24</v>
      </c>
      <c r="Q40" s="10" t="s">
        <v>25</v>
      </c>
      <c r="R40" s="11" t="s">
        <v>26</v>
      </c>
      <c r="S40" s="9" t="s">
        <v>24</v>
      </c>
      <c r="T40" s="16" t="s">
        <v>25</v>
      </c>
      <c r="U40" s="11" t="s">
        <v>26</v>
      </c>
      <c r="V40" s="9" t="s">
        <v>24</v>
      </c>
      <c r="W40" s="16" t="s">
        <v>25</v>
      </c>
      <c r="X40" s="11" t="s">
        <v>26</v>
      </c>
      <c r="Y40" s="9" t="s">
        <v>24</v>
      </c>
      <c r="Z40" s="16" t="s">
        <v>25</v>
      </c>
      <c r="AA40" s="11" t="s">
        <v>26</v>
      </c>
      <c r="AB40" s="9" t="s">
        <v>24</v>
      </c>
      <c r="AC40" s="16" t="s">
        <v>25</v>
      </c>
      <c r="AD40" s="11" t="s">
        <v>26</v>
      </c>
      <c r="AE40" s="9" t="s">
        <v>24</v>
      </c>
      <c r="AF40" s="16" t="s">
        <v>25</v>
      </c>
      <c r="AG40" s="11" t="s">
        <v>26</v>
      </c>
      <c r="AH40" s="105" t="s">
        <v>26</v>
      </c>
      <c r="AI40" s="18" t="s">
        <v>26</v>
      </c>
      <c r="AJ40" s="18" t="s">
        <v>26</v>
      </c>
      <c r="AK40" s="19" t="s">
        <v>26</v>
      </c>
      <c r="AL40" s="294"/>
    </row>
    <row r="41" spans="1:39" ht="15">
      <c r="A41" s="328"/>
      <c r="B41" s="20" t="s">
        <v>27</v>
      </c>
      <c r="C41" s="20"/>
      <c r="D41" s="165">
        <f>G41+J41+M41</f>
        <v>19467351</v>
      </c>
      <c r="E41" s="166">
        <f>F41/D41</f>
        <v>0.70455178878728808</v>
      </c>
      <c r="F41" s="167">
        <f>I41+L41+O41</f>
        <v>13715756.970000001</v>
      </c>
      <c r="G41" s="168">
        <v>8260488</v>
      </c>
      <c r="H41" s="169">
        <f>I41/G41</f>
        <v>0.52198252572971471</v>
      </c>
      <c r="I41" s="170">
        <v>4311830.3899999997</v>
      </c>
      <c r="J41" s="171">
        <v>10537483</v>
      </c>
      <c r="K41" s="169">
        <f>L41/J41</f>
        <v>0.82539528177649257</v>
      </c>
      <c r="L41" s="170">
        <v>8697588.75</v>
      </c>
      <c r="M41" s="168">
        <v>669380</v>
      </c>
      <c r="N41" s="169">
        <f>O41/M41</f>
        <v>1.0552120320296392</v>
      </c>
      <c r="O41" s="170">
        <v>706337.83</v>
      </c>
      <c r="P41" s="172">
        <f>S41+V41+Y41+AB41+AE41</f>
        <v>54.816000000000003</v>
      </c>
      <c r="Q41" s="173">
        <f>R41/P41</f>
        <v>124509.24273934615</v>
      </c>
      <c r="R41" s="174">
        <f>U41+X41+AA41+AD41+AG41</f>
        <v>6825098.6499999994</v>
      </c>
      <c r="S41" s="175">
        <v>36.991</v>
      </c>
      <c r="T41" s="173">
        <f>U41/S41</f>
        <v>118261.37519937282</v>
      </c>
      <c r="U41" s="170">
        <v>4374606.53</v>
      </c>
      <c r="V41" s="176">
        <v>0.94399999999999995</v>
      </c>
      <c r="W41" s="173">
        <f>X41/V41</f>
        <v>395574.67161016952</v>
      </c>
      <c r="X41" s="170">
        <v>373422.49</v>
      </c>
      <c r="Y41" s="175">
        <v>0.20899999999999999</v>
      </c>
      <c r="Z41" s="173">
        <f>AA41/Y41</f>
        <v>452917.3205741627</v>
      </c>
      <c r="AA41" s="170">
        <v>94659.72</v>
      </c>
      <c r="AB41" s="177">
        <v>16.548999999999999</v>
      </c>
      <c r="AC41" s="173">
        <f>AD41/AB41</f>
        <v>119031.8611396459</v>
      </c>
      <c r="AD41" s="170">
        <v>1969858.27</v>
      </c>
      <c r="AE41" s="176">
        <v>0.123</v>
      </c>
      <c r="AF41" s="173">
        <f>AG41/AE41</f>
        <v>102045.85365853658</v>
      </c>
      <c r="AG41" s="170">
        <v>12551.64</v>
      </c>
      <c r="AH41" s="129">
        <f>AI41+AJ41+AK41</f>
        <v>58119.362384</v>
      </c>
      <c r="AI41" s="130">
        <v>12959.48</v>
      </c>
      <c r="AJ41" s="130">
        <v>4450.17</v>
      </c>
      <c r="AK41" s="131">
        <f>D35*0.002178</f>
        <v>40709.712383999999</v>
      </c>
      <c r="AL41" s="295"/>
    </row>
    <row r="42" spans="1:39">
      <c r="A42" s="328"/>
      <c r="B42" s="36" t="s">
        <v>28</v>
      </c>
      <c r="C42" s="36"/>
      <c r="D42" s="178">
        <f>G42+J42+M42</f>
        <v>499013</v>
      </c>
      <c r="E42" s="179"/>
      <c r="F42" s="180"/>
      <c r="G42" s="181">
        <v>240408</v>
      </c>
      <c r="H42" s="182"/>
      <c r="I42" s="183"/>
      <c r="J42" s="181">
        <v>258605</v>
      </c>
      <c r="K42" s="182"/>
      <c r="L42" s="183"/>
      <c r="M42" s="181"/>
      <c r="N42" s="184"/>
      <c r="O42" s="185"/>
      <c r="P42" s="181"/>
      <c r="Q42" s="184"/>
      <c r="R42" s="183"/>
      <c r="S42" s="186"/>
      <c r="T42" s="182"/>
      <c r="U42" s="183"/>
      <c r="V42" s="186"/>
      <c r="W42" s="182"/>
      <c r="X42" s="183"/>
      <c r="Y42" s="186"/>
      <c r="Z42" s="182"/>
      <c r="AA42" s="183"/>
      <c r="AB42" s="186"/>
      <c r="AC42" s="182"/>
      <c r="AD42" s="183"/>
      <c r="AE42" s="186"/>
      <c r="AF42" s="182"/>
      <c r="AG42" s="183"/>
      <c r="AH42" s="138"/>
      <c r="AI42" s="139"/>
      <c r="AJ42" s="139"/>
      <c r="AK42" s="140"/>
      <c r="AL42" s="35"/>
    </row>
    <row r="43" spans="1:39" ht="15">
      <c r="A43" s="328"/>
      <c r="B43" s="51" t="s">
        <v>29</v>
      </c>
      <c r="C43" s="51"/>
      <c r="D43" s="187">
        <f>J43+M43</f>
        <v>348391</v>
      </c>
      <c r="E43" s="188">
        <f>F43/D43</f>
        <v>0.65937564403213633</v>
      </c>
      <c r="F43" s="189">
        <f>I43+L43+O43</f>
        <v>229720.54</v>
      </c>
      <c r="G43" s="190"/>
      <c r="H43" s="191"/>
      <c r="I43" s="192"/>
      <c r="J43" s="168">
        <v>22258</v>
      </c>
      <c r="K43" s="191">
        <f>L43/J43</f>
        <v>1.3478299937101266E-4</v>
      </c>
      <c r="L43" s="170">
        <v>3</v>
      </c>
      <c r="M43" s="168">
        <v>326133</v>
      </c>
      <c r="N43" s="191">
        <f>O43/M43</f>
        <v>0.70436766595223421</v>
      </c>
      <c r="O43" s="170">
        <v>229717.54</v>
      </c>
      <c r="P43" s="190"/>
      <c r="Q43" s="191"/>
      <c r="R43" s="192"/>
      <c r="S43" s="193"/>
      <c r="T43" s="191"/>
      <c r="U43" s="192"/>
      <c r="V43" s="193"/>
      <c r="W43" s="191"/>
      <c r="X43" s="192"/>
      <c r="Y43" s="193"/>
      <c r="Z43" s="191"/>
      <c r="AA43" s="192"/>
      <c r="AB43" s="193"/>
      <c r="AC43" s="191"/>
      <c r="AD43" s="192"/>
      <c r="AE43" s="193"/>
      <c r="AF43" s="191"/>
      <c r="AG43" s="192"/>
      <c r="AH43" s="146"/>
      <c r="AI43" s="147"/>
      <c r="AJ43" s="147"/>
      <c r="AK43" s="148"/>
      <c r="AL43" s="35"/>
    </row>
    <row r="44" spans="1:39" ht="15">
      <c r="A44" s="328"/>
      <c r="B44" s="36" t="s">
        <v>28</v>
      </c>
      <c r="C44" s="36"/>
      <c r="D44" s="194">
        <f>G44+J44+M44</f>
        <v>19001</v>
      </c>
      <c r="E44" s="195"/>
      <c r="F44" s="196"/>
      <c r="G44" s="197"/>
      <c r="H44" s="198"/>
      <c r="I44" s="199"/>
      <c r="J44" s="190">
        <v>19001</v>
      </c>
      <c r="K44" s="198"/>
      <c r="L44" s="199">
        <v>3</v>
      </c>
      <c r="M44" s="197"/>
      <c r="N44" s="198"/>
      <c r="O44" s="200"/>
      <c r="P44" s="197"/>
      <c r="Q44" s="198"/>
      <c r="R44" s="199"/>
      <c r="S44" s="201"/>
      <c r="T44" s="198"/>
      <c r="U44" s="199"/>
      <c r="V44" s="201"/>
      <c r="W44" s="198"/>
      <c r="X44" s="199"/>
      <c r="Y44" s="201"/>
      <c r="Z44" s="198"/>
      <c r="AA44" s="199"/>
      <c r="AB44" s="201"/>
      <c r="AC44" s="198"/>
      <c r="AD44" s="199"/>
      <c r="AE44" s="201"/>
      <c r="AF44" s="198"/>
      <c r="AG44" s="199"/>
      <c r="AH44" s="154"/>
      <c r="AI44" s="155"/>
      <c r="AJ44" s="155"/>
      <c r="AK44" s="156"/>
      <c r="AL44" s="106"/>
    </row>
    <row r="45" spans="1:39" ht="15">
      <c r="A45" s="329"/>
      <c r="B45" s="8"/>
      <c r="C45" s="8"/>
      <c r="D45" s="202"/>
      <c r="E45" s="203"/>
      <c r="F45" s="204"/>
      <c r="G45" s="205"/>
      <c r="H45" s="206"/>
      <c r="I45" s="207"/>
      <c r="J45" s="205"/>
      <c r="K45" s="206"/>
      <c r="L45" s="207"/>
      <c r="M45" s="205"/>
      <c r="N45" s="206"/>
      <c r="O45" s="208"/>
      <c r="P45" s="197"/>
      <c r="Q45" s="198"/>
      <c r="R45" s="199"/>
      <c r="S45" s="201"/>
      <c r="T45" s="198"/>
      <c r="U45" s="199"/>
      <c r="V45" s="201"/>
      <c r="W45" s="198"/>
      <c r="X45" s="199"/>
      <c r="Y45" s="201"/>
      <c r="Z45" s="198"/>
      <c r="AA45" s="199"/>
      <c r="AB45" s="201"/>
      <c r="AC45" s="198"/>
      <c r="AD45" s="199"/>
      <c r="AE45" s="201"/>
      <c r="AF45" s="198"/>
      <c r="AG45" s="199"/>
      <c r="AH45" s="161"/>
      <c r="AI45" s="162"/>
      <c r="AJ45" s="162"/>
      <c r="AK45" s="163"/>
      <c r="AL45" s="8"/>
    </row>
    <row r="46" spans="1:39" ht="15.75" thickBot="1">
      <c r="A46" s="107"/>
      <c r="B46" s="107" t="s">
        <v>12</v>
      </c>
      <c r="C46" s="108">
        <f>F46+R46</f>
        <v>20311135.079999998</v>
      </c>
      <c r="D46" s="109">
        <f>G46+J46+M46</f>
        <v>19118960</v>
      </c>
      <c r="E46" s="110"/>
      <c r="F46" s="111">
        <f>I46+L46+O46</f>
        <v>13486036.43</v>
      </c>
      <c r="G46" s="112">
        <f>G41-G43</f>
        <v>8260488</v>
      </c>
      <c r="H46" s="113"/>
      <c r="I46" s="111">
        <f t="shared" ref="I46" si="12">I41-I43</f>
        <v>4311830.3899999997</v>
      </c>
      <c r="J46" s="112">
        <f>J41-J43</f>
        <v>10515225</v>
      </c>
      <c r="K46" s="113">
        <f t="shared" ref="K46:M46" si="13">K41-K43</f>
        <v>0.8252604987771216</v>
      </c>
      <c r="L46" s="111">
        <f t="shared" si="13"/>
        <v>8697585.75</v>
      </c>
      <c r="M46" s="112">
        <f t="shared" si="13"/>
        <v>343247</v>
      </c>
      <c r="N46" s="113"/>
      <c r="O46" s="114">
        <f t="shared" ref="O46" si="14">O41-O43</f>
        <v>476620.28999999992</v>
      </c>
      <c r="P46" s="112">
        <f>S46+V46+Y46+AB46+AE46</f>
        <v>54.816000000000003</v>
      </c>
      <c r="Q46" s="113"/>
      <c r="R46" s="111">
        <f>U46+X46+AA46+AD46+AG46</f>
        <v>6825098.6499999994</v>
      </c>
      <c r="S46" s="109">
        <f>S41-S43</f>
        <v>36.991</v>
      </c>
      <c r="T46" s="113"/>
      <c r="U46" s="111">
        <f t="shared" ref="U46:V46" si="15">U41-U43</f>
        <v>4374606.53</v>
      </c>
      <c r="V46" s="109">
        <f t="shared" si="15"/>
        <v>0.94399999999999995</v>
      </c>
      <c r="W46" s="113"/>
      <c r="X46" s="111">
        <f t="shared" ref="X46:Y46" si="16">X41-X43</f>
        <v>373422.49</v>
      </c>
      <c r="Y46" s="109">
        <f t="shared" si="16"/>
        <v>0.20899999999999999</v>
      </c>
      <c r="Z46" s="113"/>
      <c r="AA46" s="111">
        <f t="shared" ref="AA46:AB46" si="17">AA41-AA43</f>
        <v>94659.72</v>
      </c>
      <c r="AB46" s="109">
        <f t="shared" si="17"/>
        <v>16.548999999999999</v>
      </c>
      <c r="AC46" s="113"/>
      <c r="AD46" s="111">
        <f t="shared" ref="AD46:AE46" si="18">AD41-AD43</f>
        <v>1969858.27</v>
      </c>
      <c r="AE46" s="109">
        <f t="shared" si="18"/>
        <v>0.123</v>
      </c>
      <c r="AF46" s="113"/>
      <c r="AG46" s="111">
        <f t="shared" ref="AG46" si="19">AG41-AG43</f>
        <v>12551.64</v>
      </c>
      <c r="AH46" s="115">
        <f>AI46+AJ46+AK46</f>
        <v>58119.362384</v>
      </c>
      <c r="AI46" s="108">
        <f>AI41-AI43</f>
        <v>12959.48</v>
      </c>
      <c r="AJ46" s="108">
        <f>AJ41-AJ43</f>
        <v>4450.17</v>
      </c>
      <c r="AK46" s="116">
        <f>AK41-AK43</f>
        <v>40709.712383999999</v>
      </c>
      <c r="AL46" s="117">
        <f>AH46+F46+R46</f>
        <v>20369254.442384001</v>
      </c>
      <c r="AM46">
        <f>AL46/D48</f>
        <v>1.0939480355332913</v>
      </c>
    </row>
    <row r="47" spans="1:39" ht="15">
      <c r="D47" s="94">
        <f>D48-D46+D42</f>
        <v>0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</row>
    <row r="48" spans="1:39">
      <c r="C48">
        <f>C46/D48</f>
        <v>1.0908266860265499</v>
      </c>
      <c r="D48" s="120">
        <v>18619947</v>
      </c>
      <c r="E48" s="118"/>
      <c r="F48" s="118"/>
      <c r="G48" s="118"/>
      <c r="H48" s="118"/>
      <c r="I48" s="118"/>
      <c r="J48" s="118"/>
      <c r="K48" s="118"/>
      <c r="L48" s="118"/>
      <c r="M48" s="209">
        <f>(M41+M43)/D48</f>
        <v>5.3464867542319001E-2</v>
      </c>
      <c r="N48" s="118"/>
      <c r="O48" s="118"/>
      <c r="P48" s="118"/>
      <c r="Q48" s="118"/>
      <c r="AH48">
        <f>AH46/D48</f>
        <v>3.1213495067413458E-3</v>
      </c>
      <c r="AI48">
        <f>AI46/D48</f>
        <v>6.9599983286740828E-4</v>
      </c>
      <c r="AJ48">
        <f>AJ46/D48</f>
        <v>2.390001432334904E-4</v>
      </c>
      <c r="AK48">
        <f>AK46/D35</f>
        <v>2.1779999999999998E-3</v>
      </c>
    </row>
    <row r="50" spans="1:39" ht="13.5" thickBot="1"/>
    <row r="51" spans="1:39" ht="15.75" thickBot="1">
      <c r="A51" s="306" t="s">
        <v>7</v>
      </c>
      <c r="B51" s="306"/>
      <c r="C51" s="3"/>
      <c r="D51" s="314" t="s">
        <v>8</v>
      </c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6"/>
      <c r="P51" s="317" t="s">
        <v>9</v>
      </c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292" t="s">
        <v>10</v>
      </c>
      <c r="AI51" s="292"/>
      <c r="AJ51" s="292"/>
      <c r="AK51" s="319"/>
    </row>
    <row r="52" spans="1:39" ht="33.75">
      <c r="A52" s="307"/>
      <c r="B52" s="307"/>
      <c r="C52" s="4"/>
      <c r="D52" s="320" t="s">
        <v>12</v>
      </c>
      <c r="E52" s="296"/>
      <c r="F52" s="297"/>
      <c r="G52" s="321" t="s">
        <v>13</v>
      </c>
      <c r="H52" s="322"/>
      <c r="I52" s="323"/>
      <c r="J52" s="301" t="s">
        <v>14</v>
      </c>
      <c r="K52" s="302"/>
      <c r="L52" s="303"/>
      <c r="M52" s="301" t="s">
        <v>15</v>
      </c>
      <c r="N52" s="302"/>
      <c r="O52" s="303"/>
      <c r="P52" s="320" t="s">
        <v>12</v>
      </c>
      <c r="Q52" s="296"/>
      <c r="R52" s="297"/>
      <c r="S52" s="301" t="s">
        <v>13</v>
      </c>
      <c r="T52" s="302"/>
      <c r="U52" s="303"/>
      <c r="V52" s="301" t="s">
        <v>16</v>
      </c>
      <c r="W52" s="302"/>
      <c r="X52" s="303"/>
      <c r="Y52" s="301" t="s">
        <v>17</v>
      </c>
      <c r="Z52" s="302"/>
      <c r="AA52" s="303"/>
      <c r="AB52" s="301" t="s">
        <v>18</v>
      </c>
      <c r="AC52" s="302"/>
      <c r="AD52" s="303"/>
      <c r="AE52" s="301" t="s">
        <v>19</v>
      </c>
      <c r="AF52" s="302"/>
      <c r="AG52" s="303"/>
      <c r="AH52" s="104" t="s">
        <v>20</v>
      </c>
      <c r="AI52" s="6" t="s">
        <v>21</v>
      </c>
      <c r="AJ52" s="6" t="s">
        <v>22</v>
      </c>
      <c r="AK52" s="7" t="s">
        <v>23</v>
      </c>
      <c r="AL52" s="293" t="s">
        <v>11</v>
      </c>
    </row>
    <row r="53" spans="1:39">
      <c r="A53" s="311">
        <v>40756</v>
      </c>
      <c r="B53" s="8"/>
      <c r="C53" s="8"/>
      <c r="D53" s="9" t="s">
        <v>24</v>
      </c>
      <c r="E53" s="10" t="s">
        <v>25</v>
      </c>
      <c r="F53" s="11" t="s">
        <v>26</v>
      </c>
      <c r="G53" s="12" t="s">
        <v>24</v>
      </c>
      <c r="H53" s="10" t="s">
        <v>25</v>
      </c>
      <c r="I53" s="13" t="s">
        <v>26</v>
      </c>
      <c r="J53" s="12" t="s">
        <v>24</v>
      </c>
      <c r="K53" s="10" t="s">
        <v>25</v>
      </c>
      <c r="L53" s="13" t="s">
        <v>26</v>
      </c>
      <c r="M53" s="12" t="s">
        <v>24</v>
      </c>
      <c r="N53" s="10" t="s">
        <v>25</v>
      </c>
      <c r="O53" s="14" t="s">
        <v>26</v>
      </c>
      <c r="P53" s="15" t="s">
        <v>24</v>
      </c>
      <c r="Q53" s="10" t="s">
        <v>25</v>
      </c>
      <c r="R53" s="11" t="s">
        <v>26</v>
      </c>
      <c r="S53" s="9" t="s">
        <v>24</v>
      </c>
      <c r="T53" s="16" t="s">
        <v>25</v>
      </c>
      <c r="U53" s="11" t="s">
        <v>26</v>
      </c>
      <c r="V53" s="9" t="s">
        <v>24</v>
      </c>
      <c r="W53" s="16" t="s">
        <v>25</v>
      </c>
      <c r="X53" s="11" t="s">
        <v>26</v>
      </c>
      <c r="Y53" s="9" t="s">
        <v>24</v>
      </c>
      <c r="Z53" s="16" t="s">
        <v>25</v>
      </c>
      <c r="AA53" s="11" t="s">
        <v>26</v>
      </c>
      <c r="AB53" s="9" t="s">
        <v>24</v>
      </c>
      <c r="AC53" s="16" t="s">
        <v>25</v>
      </c>
      <c r="AD53" s="11" t="s">
        <v>26</v>
      </c>
      <c r="AE53" s="9" t="s">
        <v>24</v>
      </c>
      <c r="AF53" s="16" t="s">
        <v>25</v>
      </c>
      <c r="AG53" s="11" t="s">
        <v>26</v>
      </c>
      <c r="AH53" s="105" t="s">
        <v>26</v>
      </c>
      <c r="AI53" s="18" t="s">
        <v>26</v>
      </c>
      <c r="AJ53" s="18" t="s">
        <v>26</v>
      </c>
      <c r="AK53" s="19" t="s">
        <v>26</v>
      </c>
      <c r="AL53" s="294"/>
    </row>
    <row r="54" spans="1:39" ht="15">
      <c r="A54" s="328"/>
      <c r="B54" s="20" t="s">
        <v>27</v>
      </c>
      <c r="C54" s="20"/>
      <c r="D54" s="165">
        <f>G54+J54+M54</f>
        <v>22098334</v>
      </c>
      <c r="E54" s="166">
        <f>F54/D54</f>
        <v>0.73271237958481394</v>
      </c>
      <c r="F54" s="167">
        <f>I54+L54+O54</f>
        <v>16191722.889999999</v>
      </c>
      <c r="G54" s="120">
        <v>8517937</v>
      </c>
      <c r="H54" s="169">
        <f>I54/G54</f>
        <v>0.48208766512360912</v>
      </c>
      <c r="I54" s="210">
        <v>4106392.36</v>
      </c>
      <c r="J54" s="211">
        <v>12528959</v>
      </c>
      <c r="K54" s="169">
        <f>L54/J54</f>
        <v>0.87732404583652956</v>
      </c>
      <c r="L54" s="212">
        <v>10991957</v>
      </c>
      <c r="M54" s="120">
        <v>1051438</v>
      </c>
      <c r="N54" s="169">
        <f>O54/M54</f>
        <v>1.039883977942589</v>
      </c>
      <c r="O54" s="212">
        <v>1093373.53</v>
      </c>
      <c r="P54" s="172">
        <f>S54+V54+Y54+AB54+AE54</f>
        <v>60.88</v>
      </c>
      <c r="Q54" s="173">
        <f>R54/P54</f>
        <v>104319.90818002628</v>
      </c>
      <c r="R54" s="174">
        <f>U54+X54+AA54+AD54+AG54</f>
        <v>6350996.0099999998</v>
      </c>
      <c r="S54" s="213">
        <v>37.948</v>
      </c>
      <c r="T54" s="173">
        <f>U54/S54</f>
        <v>81149.609729102987</v>
      </c>
      <c r="U54" s="210">
        <v>3079465.39</v>
      </c>
      <c r="V54" s="214">
        <v>1.4410000000000001</v>
      </c>
      <c r="W54" s="173">
        <f>X54/V54</f>
        <v>409279.28521859815</v>
      </c>
      <c r="X54" s="212">
        <v>589771.44999999995</v>
      </c>
      <c r="Y54" s="213">
        <v>0.26600000000000001</v>
      </c>
      <c r="Z54" s="173">
        <f>AA54/Y54</f>
        <v>468560.33834586467</v>
      </c>
      <c r="AA54" s="212">
        <v>124637.05</v>
      </c>
      <c r="AB54" s="215">
        <v>21.039000000000001</v>
      </c>
      <c r="AC54" s="173">
        <f>AD54/AB54</f>
        <v>120632.02433575741</v>
      </c>
      <c r="AD54" s="210">
        <v>2537977.16</v>
      </c>
      <c r="AE54" s="214">
        <v>0.186</v>
      </c>
      <c r="AF54" s="173">
        <f>AG54/AE54</f>
        <v>102929.89247311828</v>
      </c>
      <c r="AG54" s="210">
        <v>19144.96</v>
      </c>
      <c r="AH54" s="129">
        <f>AI54+AJ54+AK54</f>
        <v>60452.412705218223</v>
      </c>
      <c r="AI54" s="130">
        <v>14811.9</v>
      </c>
      <c r="AJ54" s="130">
        <v>5086.2727052182263</v>
      </c>
      <c r="AK54" s="131">
        <v>40554.239999999998</v>
      </c>
      <c r="AL54" s="295"/>
    </row>
    <row r="55" spans="1:39">
      <c r="A55" s="328"/>
      <c r="B55" s="36" t="s">
        <v>28</v>
      </c>
      <c r="C55" s="36"/>
      <c r="D55" s="178">
        <v>566771</v>
      </c>
      <c r="E55" s="179"/>
      <c r="F55" s="180">
        <v>468541.57</v>
      </c>
      <c r="G55" s="181">
        <v>228.09000000000006</v>
      </c>
      <c r="H55" s="182"/>
      <c r="I55" s="183"/>
      <c r="J55" s="181">
        <v>338.68100000000004</v>
      </c>
      <c r="K55" s="182"/>
      <c r="L55" s="183"/>
      <c r="M55" s="181"/>
      <c r="N55" s="184"/>
      <c r="O55" s="185"/>
      <c r="P55" s="181"/>
      <c r="Q55" s="184"/>
      <c r="R55" s="183"/>
      <c r="S55" s="186"/>
      <c r="T55" s="182"/>
      <c r="U55" s="183"/>
      <c r="V55" s="186"/>
      <c r="W55" s="182"/>
      <c r="X55" s="183"/>
      <c r="Y55" s="186"/>
      <c r="Z55" s="182"/>
      <c r="AA55" s="183"/>
      <c r="AB55" s="186"/>
      <c r="AC55" s="182"/>
      <c r="AD55" s="183"/>
      <c r="AE55" s="186"/>
      <c r="AF55" s="182"/>
      <c r="AG55" s="183"/>
      <c r="AH55" s="138"/>
      <c r="AI55" s="139"/>
      <c r="AJ55" s="139"/>
      <c r="AK55" s="140"/>
      <c r="AL55" s="35"/>
    </row>
    <row r="56" spans="1:39" ht="15">
      <c r="A56" s="328"/>
      <c r="B56" s="51" t="s">
        <v>29</v>
      </c>
      <c r="C56" s="51"/>
      <c r="D56" s="187">
        <f>J56+M56</f>
        <v>250100</v>
      </c>
      <c r="E56" s="188">
        <f>F56/D56</f>
        <v>0.74928752499000395</v>
      </c>
      <c r="F56" s="189">
        <f>I56+L56+O56</f>
        <v>187396.81</v>
      </c>
      <c r="G56" s="190"/>
      <c r="H56" s="191"/>
      <c r="I56" s="192"/>
      <c r="J56" s="120">
        <v>20995</v>
      </c>
      <c r="K56" s="191">
        <f>L56/J56</f>
        <v>1.4289116456299119E-4</v>
      </c>
      <c r="L56" s="210">
        <v>3</v>
      </c>
      <c r="M56" s="120">
        <v>229105</v>
      </c>
      <c r="N56" s="191">
        <f>O56/M56</f>
        <v>0.81793854346260442</v>
      </c>
      <c r="O56" s="210">
        <v>187393.81</v>
      </c>
      <c r="P56" s="190"/>
      <c r="Q56" s="191"/>
      <c r="R56" s="192"/>
      <c r="S56" s="193"/>
      <c r="T56" s="191"/>
      <c r="U56" s="192"/>
      <c r="V56" s="193"/>
      <c r="W56" s="191"/>
      <c r="X56" s="192"/>
      <c r="Y56" s="193"/>
      <c r="Z56" s="191"/>
      <c r="AA56" s="192"/>
      <c r="AB56" s="193"/>
      <c r="AC56" s="191"/>
      <c r="AD56" s="192"/>
      <c r="AE56" s="193"/>
      <c r="AF56" s="191"/>
      <c r="AG56" s="192"/>
      <c r="AH56" s="146"/>
      <c r="AI56" s="147"/>
      <c r="AJ56" s="147"/>
      <c r="AK56" s="148"/>
      <c r="AL56" s="35"/>
    </row>
    <row r="57" spans="1:39" ht="15">
      <c r="A57" s="328"/>
      <c r="B57" s="36" t="s">
        <v>28</v>
      </c>
      <c r="C57" s="36"/>
      <c r="D57" s="194">
        <f>G57+J57+M57</f>
        <v>0</v>
      </c>
      <c r="E57" s="195"/>
      <c r="F57" s="196"/>
      <c r="G57" s="197"/>
      <c r="H57" s="198"/>
      <c r="I57" s="199"/>
      <c r="J57" s="190"/>
      <c r="K57" s="198"/>
      <c r="L57" s="199"/>
      <c r="M57" s="197"/>
      <c r="N57" s="198"/>
      <c r="O57" s="200"/>
      <c r="P57" s="197"/>
      <c r="Q57" s="198"/>
      <c r="R57" s="199"/>
      <c r="S57" s="201"/>
      <c r="T57" s="198"/>
      <c r="U57" s="199"/>
      <c r="V57" s="201"/>
      <c r="W57" s="198"/>
      <c r="X57" s="199"/>
      <c r="Y57" s="201"/>
      <c r="Z57" s="198"/>
      <c r="AA57" s="199"/>
      <c r="AB57" s="201"/>
      <c r="AC57" s="198"/>
      <c r="AD57" s="199"/>
      <c r="AE57" s="201"/>
      <c r="AF57" s="198"/>
      <c r="AG57" s="199"/>
      <c r="AH57" s="154"/>
      <c r="AI57" s="155"/>
      <c r="AJ57" s="155"/>
      <c r="AK57" s="156"/>
      <c r="AL57" s="106"/>
    </row>
    <row r="58" spans="1:39" ht="15">
      <c r="A58" s="329"/>
      <c r="B58" s="8"/>
      <c r="C58" s="8"/>
      <c r="D58" s="202"/>
      <c r="E58" s="203"/>
      <c r="F58" s="204"/>
      <c r="G58" s="205"/>
      <c r="H58" s="206"/>
      <c r="I58" s="207"/>
      <c r="J58" s="205"/>
      <c r="K58" s="206"/>
      <c r="L58" s="207"/>
      <c r="M58" s="205"/>
      <c r="N58" s="206"/>
      <c r="O58" s="208"/>
      <c r="P58" s="197"/>
      <c r="Q58" s="198"/>
      <c r="R58" s="199"/>
      <c r="S58" s="201"/>
      <c r="T58" s="198"/>
      <c r="U58" s="199"/>
      <c r="V58" s="201"/>
      <c r="W58" s="198"/>
      <c r="X58" s="199"/>
      <c r="Y58" s="201"/>
      <c r="Z58" s="198"/>
      <c r="AA58" s="199"/>
      <c r="AB58" s="201"/>
      <c r="AC58" s="198"/>
      <c r="AD58" s="199"/>
      <c r="AE58" s="201"/>
      <c r="AF58" s="198"/>
      <c r="AG58" s="199"/>
      <c r="AH58" s="161"/>
      <c r="AI58" s="162"/>
      <c r="AJ58" s="162"/>
      <c r="AK58" s="163"/>
      <c r="AL58" s="8"/>
    </row>
    <row r="59" spans="1:39" ht="15.75" thickBot="1">
      <c r="A59" s="107"/>
      <c r="B59" s="107" t="s">
        <v>12</v>
      </c>
      <c r="C59" s="108">
        <f>F59+R59</f>
        <v>22355322.09</v>
      </c>
      <c r="D59" s="109">
        <f>G59+J59+M59</f>
        <v>21848234</v>
      </c>
      <c r="E59" s="110"/>
      <c r="F59" s="111">
        <f>I59+L59+O59</f>
        <v>16004326.08</v>
      </c>
      <c r="G59" s="112">
        <f>G54-G56</f>
        <v>8517937</v>
      </c>
      <c r="H59" s="113"/>
      <c r="I59" s="111">
        <f t="shared" ref="I59" si="20">I54-I56</f>
        <v>4106392.36</v>
      </c>
      <c r="J59" s="112">
        <f>J54-J56</f>
        <v>12507964</v>
      </c>
      <c r="K59" s="113">
        <f t="shared" ref="K59:M59" si="21">K54-K56</f>
        <v>0.87718115467196656</v>
      </c>
      <c r="L59" s="111">
        <f t="shared" si="21"/>
        <v>10991954</v>
      </c>
      <c r="M59" s="112">
        <f t="shared" si="21"/>
        <v>822333</v>
      </c>
      <c r="N59" s="113"/>
      <c r="O59" s="114">
        <f t="shared" ref="O59" si="22">O54-O56</f>
        <v>905979.72</v>
      </c>
      <c r="P59" s="112">
        <f>S59+V59+Y59+AB59+AE59</f>
        <v>60.88</v>
      </c>
      <c r="Q59" s="113"/>
      <c r="R59" s="111">
        <f>U59+X59+AA59+AD59+AG59</f>
        <v>6350996.0099999998</v>
      </c>
      <c r="S59" s="109">
        <f>S54-S56</f>
        <v>37.948</v>
      </c>
      <c r="T59" s="113"/>
      <c r="U59" s="111">
        <f t="shared" ref="U59:V59" si="23">U54-U56</f>
        <v>3079465.39</v>
      </c>
      <c r="V59" s="109">
        <f t="shared" si="23"/>
        <v>1.4410000000000001</v>
      </c>
      <c r="W59" s="113"/>
      <c r="X59" s="111">
        <f t="shared" ref="X59:Y59" si="24">X54-X56</f>
        <v>589771.44999999995</v>
      </c>
      <c r="Y59" s="109">
        <f t="shared" si="24"/>
        <v>0.26600000000000001</v>
      </c>
      <c r="Z59" s="113"/>
      <c r="AA59" s="111">
        <f t="shared" ref="AA59:AB59" si="25">AA54-AA56</f>
        <v>124637.05</v>
      </c>
      <c r="AB59" s="109">
        <f t="shared" si="25"/>
        <v>21.039000000000001</v>
      </c>
      <c r="AC59" s="113"/>
      <c r="AD59" s="111">
        <f t="shared" ref="AD59:AE59" si="26">AD54-AD56</f>
        <v>2537977.16</v>
      </c>
      <c r="AE59" s="109">
        <f t="shared" si="26"/>
        <v>0.186</v>
      </c>
      <c r="AF59" s="113"/>
      <c r="AG59" s="111">
        <f t="shared" ref="AG59" si="27">AG54-AG56</f>
        <v>19144.96</v>
      </c>
      <c r="AH59" s="115">
        <f>AI59+AJ59+AK59</f>
        <v>60452.412705218223</v>
      </c>
      <c r="AI59" s="108">
        <f>AI54-AI56</f>
        <v>14811.9</v>
      </c>
      <c r="AJ59" s="108">
        <f>AJ54-AJ56</f>
        <v>5086.2727052182263</v>
      </c>
      <c r="AK59" s="116">
        <f>AK54-AK56</f>
        <v>40554.239999999998</v>
      </c>
      <c r="AL59" s="117">
        <f>C59+AH59</f>
        <v>22415774.502705216</v>
      </c>
      <c r="AM59">
        <f>AL59/D61</f>
        <v>1.0533004475634602</v>
      </c>
    </row>
    <row r="60" spans="1:39" ht="15">
      <c r="B60">
        <f>C60*1.18</f>
        <v>74146762.1734</v>
      </c>
      <c r="C60" s="118">
        <f>C59+C46+C33</f>
        <v>62836239.130000003</v>
      </c>
      <c r="D60" s="94">
        <f>D61-D59+D55</f>
        <v>0</v>
      </c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</row>
    <row r="61" spans="1:39">
      <c r="C61" s="118">
        <f>C59+C46+C33</f>
        <v>62836239.130000003</v>
      </c>
      <c r="D61" s="120">
        <v>21281463</v>
      </c>
      <c r="E61" s="118"/>
      <c r="F61" s="118">
        <f>F59+F46+F33</f>
        <v>43935919.399999999</v>
      </c>
      <c r="G61" s="118"/>
      <c r="H61" s="118"/>
      <c r="I61" s="118"/>
      <c r="J61" s="118"/>
      <c r="K61" s="118"/>
      <c r="L61" s="118"/>
      <c r="M61" s="164">
        <f>(M54+M56)/D61</f>
        <v>6.0171756048914497E-2</v>
      </c>
      <c r="N61" s="118"/>
      <c r="O61" s="118"/>
      <c r="P61" s="118"/>
      <c r="Q61" s="118"/>
      <c r="AI61">
        <f>AI59/D61</f>
        <v>6.960000823251672E-4</v>
      </c>
      <c r="AJ61">
        <f>AJ59/D61</f>
        <v>2.390001432334904E-4</v>
      </c>
      <c r="AK61">
        <f>AK59/D48</f>
        <v>2.1779997547791085E-3</v>
      </c>
    </row>
    <row r="62" spans="1:39">
      <c r="AL62" s="118"/>
    </row>
    <row r="63" spans="1:39" ht="13.5" thickBot="1"/>
    <row r="64" spans="1:39" ht="15.75" thickBot="1">
      <c r="A64" s="306" t="s">
        <v>7</v>
      </c>
      <c r="B64" s="306"/>
      <c r="C64" s="3"/>
      <c r="D64" s="314" t="s">
        <v>8</v>
      </c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6"/>
      <c r="P64" s="317" t="s">
        <v>9</v>
      </c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292" t="s">
        <v>10</v>
      </c>
      <c r="AI64" s="292"/>
      <c r="AJ64" s="292"/>
      <c r="AK64" s="319"/>
    </row>
    <row r="65" spans="1:39" ht="33.75">
      <c r="A65" s="307"/>
      <c r="B65" s="307"/>
      <c r="C65" s="4"/>
      <c r="D65" s="320" t="s">
        <v>12</v>
      </c>
      <c r="E65" s="296"/>
      <c r="F65" s="297"/>
      <c r="G65" s="321" t="s">
        <v>13</v>
      </c>
      <c r="H65" s="322"/>
      <c r="I65" s="323"/>
      <c r="J65" s="301" t="s">
        <v>14</v>
      </c>
      <c r="K65" s="302"/>
      <c r="L65" s="303"/>
      <c r="M65" s="301" t="s">
        <v>15</v>
      </c>
      <c r="N65" s="302"/>
      <c r="O65" s="303"/>
      <c r="P65" s="320" t="s">
        <v>12</v>
      </c>
      <c r="Q65" s="296"/>
      <c r="R65" s="297"/>
      <c r="S65" s="301" t="s">
        <v>13</v>
      </c>
      <c r="T65" s="302"/>
      <c r="U65" s="303"/>
      <c r="V65" s="301" t="s">
        <v>16</v>
      </c>
      <c r="W65" s="302"/>
      <c r="X65" s="303"/>
      <c r="Y65" s="301" t="s">
        <v>17</v>
      </c>
      <c r="Z65" s="302"/>
      <c r="AA65" s="303"/>
      <c r="AB65" s="301" t="s">
        <v>18</v>
      </c>
      <c r="AC65" s="302"/>
      <c r="AD65" s="303"/>
      <c r="AE65" s="301" t="s">
        <v>19</v>
      </c>
      <c r="AF65" s="302"/>
      <c r="AG65" s="303"/>
      <c r="AH65" s="104" t="s">
        <v>20</v>
      </c>
      <c r="AI65" s="6" t="s">
        <v>21</v>
      </c>
      <c r="AJ65" s="6" t="s">
        <v>22</v>
      </c>
      <c r="AK65" s="7" t="s">
        <v>23</v>
      </c>
      <c r="AL65" s="293" t="s">
        <v>11</v>
      </c>
    </row>
    <row r="66" spans="1:39">
      <c r="A66" s="311">
        <v>40787</v>
      </c>
      <c r="B66" s="8"/>
      <c r="C66" s="8"/>
      <c r="D66" s="9" t="s">
        <v>24</v>
      </c>
      <c r="E66" s="10" t="s">
        <v>25</v>
      </c>
      <c r="F66" s="11" t="s">
        <v>26</v>
      </c>
      <c r="G66" s="12" t="s">
        <v>24</v>
      </c>
      <c r="H66" s="10" t="s">
        <v>25</v>
      </c>
      <c r="I66" s="13" t="s">
        <v>26</v>
      </c>
      <c r="J66" s="12" t="s">
        <v>24</v>
      </c>
      <c r="K66" s="10" t="s">
        <v>25</v>
      </c>
      <c r="L66" s="13" t="s">
        <v>26</v>
      </c>
      <c r="M66" s="12" t="s">
        <v>24</v>
      </c>
      <c r="N66" s="10" t="s">
        <v>25</v>
      </c>
      <c r="O66" s="14" t="s">
        <v>26</v>
      </c>
      <c r="P66" s="15" t="s">
        <v>24</v>
      </c>
      <c r="Q66" s="10" t="s">
        <v>25</v>
      </c>
      <c r="R66" s="11" t="s">
        <v>26</v>
      </c>
      <c r="S66" s="9" t="s">
        <v>24</v>
      </c>
      <c r="T66" s="16" t="s">
        <v>25</v>
      </c>
      <c r="U66" s="11" t="s">
        <v>26</v>
      </c>
      <c r="V66" s="9" t="s">
        <v>24</v>
      </c>
      <c r="W66" s="16" t="s">
        <v>25</v>
      </c>
      <c r="X66" s="11" t="s">
        <v>26</v>
      </c>
      <c r="Y66" s="9" t="s">
        <v>24</v>
      </c>
      <c r="Z66" s="16" t="s">
        <v>25</v>
      </c>
      <c r="AA66" s="11" t="s">
        <v>26</v>
      </c>
      <c r="AB66" s="9" t="s">
        <v>24</v>
      </c>
      <c r="AC66" s="16" t="s">
        <v>25</v>
      </c>
      <c r="AD66" s="11" t="s">
        <v>26</v>
      </c>
      <c r="AE66" s="9" t="s">
        <v>24</v>
      </c>
      <c r="AF66" s="16" t="s">
        <v>25</v>
      </c>
      <c r="AG66" s="11" t="s">
        <v>26</v>
      </c>
      <c r="AH66" s="105" t="s">
        <v>26</v>
      </c>
      <c r="AI66" s="18" t="s">
        <v>26</v>
      </c>
      <c r="AJ66" s="18" t="s">
        <v>26</v>
      </c>
      <c r="AK66" s="19" t="s">
        <v>26</v>
      </c>
      <c r="AL66" s="294"/>
    </row>
    <row r="67" spans="1:39" ht="15">
      <c r="A67" s="328"/>
      <c r="B67" s="20" t="s">
        <v>27</v>
      </c>
      <c r="C67" s="20"/>
      <c r="D67" s="165">
        <f>G67+J67+M67</f>
        <v>26507481</v>
      </c>
      <c r="E67" s="166">
        <f>F67/D67</f>
        <v>0.7141447770914181</v>
      </c>
      <c r="F67" s="167">
        <f>I67+L67+O67</f>
        <v>18930179.109999999</v>
      </c>
      <c r="G67" s="120">
        <v>9620262</v>
      </c>
      <c r="H67" s="169">
        <f>I67/G67</f>
        <v>0.45350098885040763</v>
      </c>
      <c r="I67" s="210">
        <v>4362798.33</v>
      </c>
      <c r="J67" s="211">
        <v>16384772</v>
      </c>
      <c r="K67" s="169">
        <f>L67/J67</f>
        <v>0.85660956954420853</v>
      </c>
      <c r="L67" s="210">
        <v>14035352.49</v>
      </c>
      <c r="M67" s="120">
        <v>502447</v>
      </c>
      <c r="N67" s="169">
        <f>O67/M67</f>
        <v>1.0588744484492894</v>
      </c>
      <c r="O67" s="210">
        <v>532028.29</v>
      </c>
      <c r="P67" s="172">
        <f>S67+V67+Y67+AB67+AE67</f>
        <v>72.920999999999992</v>
      </c>
      <c r="Q67" s="173">
        <f>R67/P67</f>
        <v>113091.23146967267</v>
      </c>
      <c r="R67" s="174">
        <f>U67+X67+AA67+AD67+AG67</f>
        <v>8246725.6899999995</v>
      </c>
      <c r="S67" s="213">
        <v>41.058999999999997</v>
      </c>
      <c r="T67" s="173">
        <f>U67/S67</f>
        <v>81149.610073309144</v>
      </c>
      <c r="U67" s="210">
        <v>3331921.84</v>
      </c>
      <c r="V67" s="214">
        <v>2.0489999999999999</v>
      </c>
      <c r="W67" s="173">
        <f>X67/V67</f>
        <v>445343.37237676914</v>
      </c>
      <c r="X67" s="210">
        <v>912508.57</v>
      </c>
      <c r="Y67" s="213">
        <v>0.34200000000000003</v>
      </c>
      <c r="Z67" s="173">
        <f>AA67/Y67</f>
        <v>501968.94736842101</v>
      </c>
      <c r="AA67" s="210">
        <v>171673.38</v>
      </c>
      <c r="AB67" s="215">
        <v>29.213000000000001</v>
      </c>
      <c r="AC67" s="173">
        <f>AD67/AB67</f>
        <v>130143.21158388389</v>
      </c>
      <c r="AD67" s="210">
        <v>3801873.64</v>
      </c>
      <c r="AE67" s="214">
        <v>0.25800000000000001</v>
      </c>
      <c r="AF67" s="173">
        <f>AG67/AE67</f>
        <v>111427.36434108527</v>
      </c>
      <c r="AG67" s="210">
        <v>28748.26</v>
      </c>
      <c r="AH67" s="129">
        <f>AI67+AJ67+AK67</f>
        <v>69857.440000000002</v>
      </c>
      <c r="AI67" s="130">
        <v>17497.82</v>
      </c>
      <c r="AJ67" s="130">
        <v>6008.59</v>
      </c>
      <c r="AK67" s="131">
        <v>46351.03</v>
      </c>
      <c r="AL67" s="295"/>
    </row>
    <row r="68" spans="1:39">
      <c r="A68" s="328"/>
      <c r="B68" s="36" t="s">
        <v>28</v>
      </c>
      <c r="C68" s="36"/>
      <c r="D68" s="216">
        <v>680021</v>
      </c>
      <c r="E68" s="179"/>
      <c r="F68" s="180">
        <v>546784.38</v>
      </c>
      <c r="G68" s="181">
        <v>250.09099999999995</v>
      </c>
      <c r="H68" s="182"/>
      <c r="I68" s="183"/>
      <c r="J68" s="181">
        <v>429.93000000000006</v>
      </c>
      <c r="K68" s="182"/>
      <c r="L68" s="183"/>
      <c r="M68" s="181"/>
      <c r="N68" s="184"/>
      <c r="O68" s="185"/>
      <c r="P68" s="181"/>
      <c r="Q68" s="184"/>
      <c r="R68" s="183"/>
      <c r="S68" s="186"/>
      <c r="T68" s="182"/>
      <c r="U68" s="183"/>
      <c r="V68" s="186"/>
      <c r="W68" s="182"/>
      <c r="X68" s="183"/>
      <c r="Y68" s="186"/>
      <c r="Z68" s="182"/>
      <c r="AA68" s="183"/>
      <c r="AB68" s="186"/>
      <c r="AC68" s="182"/>
      <c r="AD68" s="183"/>
      <c r="AE68" s="186"/>
      <c r="AF68" s="182"/>
      <c r="AG68" s="183"/>
      <c r="AH68" s="138"/>
      <c r="AI68" s="139"/>
      <c r="AJ68" s="139"/>
      <c r="AK68" s="140"/>
      <c r="AL68" s="35"/>
    </row>
    <row r="69" spans="1:39" ht="15">
      <c r="A69" s="328"/>
      <c r="B69" s="51" t="s">
        <v>29</v>
      </c>
      <c r="C69" s="51"/>
      <c r="D69" s="187">
        <f>J69+M69</f>
        <v>686909</v>
      </c>
      <c r="E69" s="188">
        <f>F69/D69</f>
        <v>0.71506949246552309</v>
      </c>
      <c r="F69" s="189">
        <f>I69+L69+O69</f>
        <v>491187.67</v>
      </c>
      <c r="G69" s="190"/>
      <c r="H69" s="191"/>
      <c r="I69" s="192"/>
      <c r="J69" s="120">
        <v>29833</v>
      </c>
      <c r="K69" s="191">
        <f>L69/J69</f>
        <v>1.0055978279086918E-4</v>
      </c>
      <c r="L69" s="210">
        <v>3</v>
      </c>
      <c r="M69" s="120">
        <v>657076</v>
      </c>
      <c r="N69" s="191">
        <f>O69/M69</f>
        <v>0.74753098576116006</v>
      </c>
      <c r="O69" s="210">
        <v>491184.67</v>
      </c>
      <c r="P69" s="190"/>
      <c r="Q69" s="191"/>
      <c r="R69" s="192"/>
      <c r="S69" s="193"/>
      <c r="T69" s="191"/>
      <c r="U69" s="192"/>
      <c r="V69" s="193"/>
      <c r="W69" s="191"/>
      <c r="X69" s="192"/>
      <c r="Y69" s="193"/>
      <c r="Z69" s="191"/>
      <c r="AA69" s="192"/>
      <c r="AB69" s="193"/>
      <c r="AC69" s="191"/>
      <c r="AD69" s="192"/>
      <c r="AE69" s="193"/>
      <c r="AF69" s="191"/>
      <c r="AG69" s="192"/>
      <c r="AH69" s="146"/>
      <c r="AI69" s="147"/>
      <c r="AJ69" s="147"/>
      <c r="AK69" s="148"/>
      <c r="AL69" s="35"/>
    </row>
    <row r="70" spans="1:39" ht="15">
      <c r="A70" s="328"/>
      <c r="B70" s="36" t="s">
        <v>28</v>
      </c>
      <c r="C70" s="36"/>
      <c r="D70" s="194">
        <f>G70+J70+M70</f>
        <v>0</v>
      </c>
      <c r="E70" s="195"/>
      <c r="F70" s="196"/>
      <c r="G70" s="197"/>
      <c r="H70" s="198"/>
      <c r="I70" s="199"/>
      <c r="J70" s="190"/>
      <c r="K70" s="198"/>
      <c r="L70" s="199"/>
      <c r="M70" s="197"/>
      <c r="N70" s="198"/>
      <c r="O70" s="200"/>
      <c r="P70" s="197"/>
      <c r="Q70" s="198"/>
      <c r="R70" s="199"/>
      <c r="S70" s="201"/>
      <c r="T70" s="198"/>
      <c r="U70" s="199"/>
      <c r="V70" s="201"/>
      <c r="W70" s="198"/>
      <c r="X70" s="199"/>
      <c r="Y70" s="201"/>
      <c r="Z70" s="198"/>
      <c r="AA70" s="199"/>
      <c r="AB70" s="201"/>
      <c r="AC70" s="198"/>
      <c r="AD70" s="199"/>
      <c r="AE70" s="201"/>
      <c r="AF70" s="198"/>
      <c r="AG70" s="199"/>
      <c r="AH70" s="154"/>
      <c r="AI70" s="155"/>
      <c r="AJ70" s="155"/>
      <c r="AK70" s="156"/>
      <c r="AL70" s="106"/>
    </row>
    <row r="71" spans="1:39" ht="15">
      <c r="A71" s="329"/>
      <c r="B71" s="8"/>
      <c r="C71" s="8"/>
      <c r="D71" s="202"/>
      <c r="E71" s="203"/>
      <c r="F71" s="204"/>
      <c r="G71" s="205"/>
      <c r="H71" s="206"/>
      <c r="I71" s="207"/>
      <c r="J71" s="205"/>
      <c r="K71" s="206"/>
      <c r="L71" s="207"/>
      <c r="M71" s="205"/>
      <c r="N71" s="206"/>
      <c r="O71" s="208"/>
      <c r="P71" s="197"/>
      <c r="Q71" s="198"/>
      <c r="R71" s="199"/>
      <c r="S71" s="201"/>
      <c r="T71" s="198"/>
      <c r="U71" s="199"/>
      <c r="V71" s="201"/>
      <c r="W71" s="198"/>
      <c r="X71" s="199"/>
      <c r="Y71" s="201"/>
      <c r="Z71" s="198"/>
      <c r="AA71" s="199"/>
      <c r="AB71" s="201"/>
      <c r="AC71" s="198"/>
      <c r="AD71" s="199"/>
      <c r="AE71" s="201"/>
      <c r="AF71" s="198"/>
      <c r="AG71" s="199"/>
      <c r="AH71" s="161"/>
      <c r="AI71" s="162"/>
      <c r="AJ71" s="162"/>
      <c r="AK71" s="163"/>
      <c r="AL71" s="8"/>
    </row>
    <row r="72" spans="1:39" ht="15.75" thickBot="1">
      <c r="A72" s="107"/>
      <c r="B72" s="107" t="s">
        <v>12</v>
      </c>
      <c r="C72" s="108">
        <f>F72+R72</f>
        <v>26685717.130000003</v>
      </c>
      <c r="D72" s="109">
        <f>G72+J72+M72</f>
        <v>25820572</v>
      </c>
      <c r="E72" s="110"/>
      <c r="F72" s="111">
        <f>I72+L72+O72</f>
        <v>18438991.440000001</v>
      </c>
      <c r="G72" s="112">
        <f>G67-G69</f>
        <v>9620262</v>
      </c>
      <c r="H72" s="113"/>
      <c r="I72" s="111">
        <f t="shared" ref="I72" si="28">I67-I69</f>
        <v>4362798.33</v>
      </c>
      <c r="J72" s="112">
        <f>J67-J69</f>
        <v>16354939</v>
      </c>
      <c r="K72" s="113">
        <f t="shared" ref="K72:M72" si="29">K67-K69</f>
        <v>0.85650900976141764</v>
      </c>
      <c r="L72" s="111">
        <f t="shared" si="29"/>
        <v>14035349.49</v>
      </c>
      <c r="M72" s="112">
        <f t="shared" si="29"/>
        <v>-154629</v>
      </c>
      <c r="N72" s="113"/>
      <c r="O72" s="114">
        <f t="shared" ref="O72" si="30">O67-O69</f>
        <v>40843.620000000054</v>
      </c>
      <c r="P72" s="112">
        <f>S72+V72+Y72+AB72+AE72</f>
        <v>72.920999999999992</v>
      </c>
      <c r="Q72" s="113"/>
      <c r="R72" s="111">
        <f>U72+X72+AA72+AD72+AG72</f>
        <v>8246725.6899999995</v>
      </c>
      <c r="S72" s="109">
        <f>S67-S69</f>
        <v>41.058999999999997</v>
      </c>
      <c r="T72" s="113"/>
      <c r="U72" s="111">
        <f t="shared" ref="U72:V72" si="31">U67-U69</f>
        <v>3331921.84</v>
      </c>
      <c r="V72" s="109">
        <f t="shared" si="31"/>
        <v>2.0489999999999999</v>
      </c>
      <c r="W72" s="113"/>
      <c r="X72" s="111">
        <f t="shared" ref="X72:Y72" si="32">X67-X69</f>
        <v>912508.57</v>
      </c>
      <c r="Y72" s="109">
        <f t="shared" si="32"/>
        <v>0.34200000000000003</v>
      </c>
      <c r="Z72" s="113"/>
      <c r="AA72" s="111">
        <f t="shared" ref="AA72:AB72" si="33">AA67-AA69</f>
        <v>171673.38</v>
      </c>
      <c r="AB72" s="109">
        <f t="shared" si="33"/>
        <v>29.213000000000001</v>
      </c>
      <c r="AC72" s="113"/>
      <c r="AD72" s="111">
        <f t="shared" ref="AD72:AE72" si="34">AD67-AD69</f>
        <v>3801873.64</v>
      </c>
      <c r="AE72" s="109">
        <f t="shared" si="34"/>
        <v>0.25800000000000001</v>
      </c>
      <c r="AF72" s="113"/>
      <c r="AG72" s="111">
        <f t="shared" ref="AG72" si="35">AG67-AG69</f>
        <v>28748.26</v>
      </c>
      <c r="AH72" s="115">
        <f>AI72+AJ72+AK72</f>
        <v>69857.440000000002</v>
      </c>
      <c r="AI72" s="108">
        <f>AI67-AI69</f>
        <v>17497.82</v>
      </c>
      <c r="AJ72" s="108">
        <f>AJ67-AJ69</f>
        <v>6008.59</v>
      </c>
      <c r="AK72" s="116">
        <f>AK67-AK69</f>
        <v>46351.03</v>
      </c>
      <c r="AL72" s="117">
        <f>C72+AH72</f>
        <v>26755574.570000004</v>
      </c>
      <c r="AM72">
        <f>AL72/D74</f>
        <v>1.0642397841638398</v>
      </c>
    </row>
    <row r="73" spans="1:39" ht="15">
      <c r="D73" s="94">
        <f>D74-D72+D68</f>
        <v>0</v>
      </c>
      <c r="M73">
        <f>(M67+M69)/D74</f>
        <v>4.6121622394035833E-2</v>
      </c>
    </row>
    <row r="74" spans="1:39">
      <c r="D74" s="120">
        <v>25140551</v>
      </c>
    </row>
    <row r="75" spans="1:39">
      <c r="D75" s="217"/>
    </row>
    <row r="76" spans="1:39">
      <c r="D76" s="217"/>
    </row>
    <row r="77" spans="1:39">
      <c r="D77" s="2" t="s">
        <v>31</v>
      </c>
      <c r="E77" s="2" t="s">
        <v>32</v>
      </c>
      <c r="F77" s="2" t="s">
        <v>33</v>
      </c>
      <c r="G77" s="2" t="s">
        <v>34</v>
      </c>
      <c r="H77" s="2" t="s">
        <v>35</v>
      </c>
      <c r="I77" s="2" t="s">
        <v>36</v>
      </c>
      <c r="AI77" s="118"/>
      <c r="AJ77" s="118"/>
      <c r="AK77" s="118"/>
    </row>
    <row r="78" spans="1:39">
      <c r="C78" t="s">
        <v>37</v>
      </c>
      <c r="D78" s="218">
        <f>F11</f>
        <v>21227619.120000001</v>
      </c>
      <c r="E78" s="218">
        <f>R11</f>
        <v>9191947.6100000013</v>
      </c>
      <c r="F78" s="218">
        <f>D13</f>
        <v>28067660</v>
      </c>
      <c r="G78" s="218">
        <f>P11</f>
        <v>73.919999999999987</v>
      </c>
      <c r="H78" s="219">
        <f>E78/G78</f>
        <v>124349.9406114719</v>
      </c>
      <c r="I78">
        <f>D78/F78</f>
        <v>0.7563017052365606</v>
      </c>
    </row>
    <row r="79" spans="1:39">
      <c r="C79" t="s">
        <v>1</v>
      </c>
      <c r="D79" s="218">
        <f>F22</f>
        <v>18957787.620000001</v>
      </c>
      <c r="E79" s="218">
        <f>R22</f>
        <v>10274361.43</v>
      </c>
      <c r="F79" s="220">
        <f>D24</f>
        <v>24887925</v>
      </c>
      <c r="G79" s="218">
        <f>P22</f>
        <v>67.773999999999987</v>
      </c>
      <c r="H79" s="219">
        <f t="shared" ref="H79:H83" si="36">E79/G79</f>
        <v>151597.38882167207</v>
      </c>
      <c r="I79">
        <f t="shared" ref="I79:I83" si="37">D79/F79</f>
        <v>0.76172632391008899</v>
      </c>
    </row>
    <row r="80" spans="1:39">
      <c r="C80" t="s">
        <v>38</v>
      </c>
      <c r="D80" s="218">
        <f>F33</f>
        <v>14445556.889999999</v>
      </c>
      <c r="E80" s="218">
        <f>R33</f>
        <v>5724225.0700000003</v>
      </c>
      <c r="F80" s="220">
        <f>D35</f>
        <v>18691328</v>
      </c>
      <c r="G80" s="218">
        <f>P33</f>
        <v>57.212000000000003</v>
      </c>
      <c r="H80" s="219">
        <f t="shared" si="36"/>
        <v>100052.87474655667</v>
      </c>
      <c r="I80">
        <f t="shared" si="37"/>
        <v>0.77284807639136177</v>
      </c>
    </row>
    <row r="81" spans="3:32">
      <c r="C81" t="s">
        <v>39</v>
      </c>
      <c r="D81" s="218">
        <f>F46</f>
        <v>13486036.43</v>
      </c>
      <c r="E81" s="218">
        <f>U33</f>
        <v>2878214.36</v>
      </c>
      <c r="F81" s="220">
        <f>D48</f>
        <v>18619947</v>
      </c>
      <c r="G81" s="218">
        <f>P46</f>
        <v>54.816000000000003</v>
      </c>
      <c r="H81" s="219">
        <f t="shared" si="36"/>
        <v>52506.829392877989</v>
      </c>
      <c r="I81">
        <f t="shared" si="37"/>
        <v>0.72427899123450779</v>
      </c>
    </row>
    <row r="82" spans="3:32">
      <c r="C82" t="s">
        <v>40</v>
      </c>
      <c r="D82" s="218">
        <f>F59</f>
        <v>16004326.08</v>
      </c>
      <c r="E82" s="218">
        <f>R59</f>
        <v>6350996.0099999998</v>
      </c>
      <c r="F82" s="220">
        <f>D61</f>
        <v>21281463</v>
      </c>
      <c r="G82" s="218">
        <f>P59</f>
        <v>60.88</v>
      </c>
      <c r="H82" s="219">
        <f t="shared" si="36"/>
        <v>104319.90818002628</v>
      </c>
      <c r="I82">
        <f t="shared" si="37"/>
        <v>0.75203129032999283</v>
      </c>
    </row>
    <row r="83" spans="3:32">
      <c r="C83" t="s">
        <v>41</v>
      </c>
      <c r="D83" s="218">
        <f>F72</f>
        <v>18438991.440000001</v>
      </c>
      <c r="E83" s="218">
        <f>R72</f>
        <v>8246725.6899999995</v>
      </c>
      <c r="F83" s="220">
        <f>D74</f>
        <v>25140551</v>
      </c>
      <c r="G83" s="218">
        <f>P72</f>
        <v>72.920999999999992</v>
      </c>
      <c r="H83" s="219">
        <f t="shared" si="36"/>
        <v>113091.23146967267</v>
      </c>
      <c r="I83">
        <f t="shared" si="37"/>
        <v>0.73343624966692267</v>
      </c>
    </row>
    <row r="84" spans="3:32">
      <c r="H84" s="219">
        <f>AVERAGE(H78:H83)</f>
        <v>107653.0288703796</v>
      </c>
      <c r="I84" s="221">
        <f>AVERAGE(I78:I83)</f>
        <v>0.75010377279490592</v>
      </c>
    </row>
    <row r="86" spans="3:32">
      <c r="H86">
        <v>115000</v>
      </c>
      <c r="I86" s="222">
        <f>I84*1.1</f>
        <v>0.82511415007439659</v>
      </c>
    </row>
    <row r="87" spans="3:32">
      <c r="H87" s="222">
        <f>H86*1.1</f>
        <v>126500.00000000001</v>
      </c>
    </row>
    <row r="96" spans="3:32">
      <c r="AA96" t="s">
        <v>42</v>
      </c>
      <c r="AB96">
        <v>79000</v>
      </c>
      <c r="AC96">
        <v>36</v>
      </c>
      <c r="AD96">
        <v>2194.4444444444443</v>
      </c>
      <c r="AE96">
        <f>AB96*0.26/12</f>
        <v>1711.6666666666667</v>
      </c>
      <c r="AF96">
        <f>AB96*0.19/12</f>
        <v>1250.8333333333333</v>
      </c>
    </row>
    <row r="97" spans="3:36">
      <c r="AA97" t="s">
        <v>43</v>
      </c>
      <c r="AB97">
        <f>AB96-AD96</f>
        <v>76805.555555555562</v>
      </c>
      <c r="AD97">
        <v>2194.4444444444443</v>
      </c>
      <c r="AE97">
        <f t="shared" ref="AE97:AE131" si="38">AB97*0.26/12</f>
        <v>1664.1203703703704</v>
      </c>
      <c r="AF97">
        <f t="shared" ref="AF97:AF131" si="39">AB97*0.19/12</f>
        <v>1216.087962962963</v>
      </c>
    </row>
    <row r="98" spans="3:36">
      <c r="AA98" t="s">
        <v>44</v>
      </c>
      <c r="AB98">
        <f t="shared" ref="AB98:AB131" si="40">AB97-AD97</f>
        <v>74611.111111111124</v>
      </c>
      <c r="AD98">
        <v>2194.4444444444443</v>
      </c>
      <c r="AE98">
        <f t="shared" si="38"/>
        <v>1616.5740740740746</v>
      </c>
      <c r="AF98">
        <f t="shared" si="39"/>
        <v>1181.3425925925928</v>
      </c>
    </row>
    <row r="99" spans="3:36">
      <c r="AA99" t="s">
        <v>37</v>
      </c>
      <c r="AB99">
        <f t="shared" si="40"/>
        <v>72416.666666666686</v>
      </c>
      <c r="AD99">
        <v>2194.4444444444443</v>
      </c>
      <c r="AE99">
        <f t="shared" si="38"/>
        <v>1569.0277777777783</v>
      </c>
      <c r="AF99">
        <f t="shared" si="39"/>
        <v>1146.5972222222224</v>
      </c>
    </row>
    <row r="100" spans="3:36">
      <c r="AA100" t="s">
        <v>1</v>
      </c>
      <c r="AB100">
        <f t="shared" si="40"/>
        <v>70222.222222222248</v>
      </c>
      <c r="AD100">
        <v>2194.4444444444443</v>
      </c>
      <c r="AE100">
        <f t="shared" si="38"/>
        <v>1521.481481481482</v>
      </c>
      <c r="AF100">
        <f t="shared" si="39"/>
        <v>1111.8518518518524</v>
      </c>
    </row>
    <row r="101" spans="3:36">
      <c r="AA101" t="s">
        <v>38</v>
      </c>
      <c r="AB101">
        <f t="shared" si="40"/>
        <v>68027.77777777781</v>
      </c>
      <c r="AD101">
        <v>2194.4444444444443</v>
      </c>
      <c r="AE101">
        <f t="shared" si="38"/>
        <v>1473.9351851851859</v>
      </c>
      <c r="AF101">
        <f t="shared" si="39"/>
        <v>1077.106481481482</v>
      </c>
    </row>
    <row r="102" spans="3:36">
      <c r="AA102" t="s">
        <v>39</v>
      </c>
      <c r="AB102">
        <f t="shared" si="40"/>
        <v>65833.333333333372</v>
      </c>
      <c r="AD102">
        <v>2194.4444444444443</v>
      </c>
      <c r="AE102">
        <f t="shared" si="38"/>
        <v>1426.3888888888898</v>
      </c>
      <c r="AF102">
        <f t="shared" si="39"/>
        <v>1042.3611111111118</v>
      </c>
    </row>
    <row r="103" spans="3:36">
      <c r="AA103" t="s">
        <v>40</v>
      </c>
      <c r="AB103">
        <f t="shared" si="40"/>
        <v>63638.888888888927</v>
      </c>
      <c r="AD103">
        <v>2194.4444444444443</v>
      </c>
      <c r="AE103">
        <f t="shared" si="38"/>
        <v>1378.8425925925933</v>
      </c>
      <c r="AF103">
        <f t="shared" si="39"/>
        <v>1007.6157407407413</v>
      </c>
    </row>
    <row r="104" spans="3:36">
      <c r="AA104" t="s">
        <v>41</v>
      </c>
      <c r="AB104">
        <f t="shared" si="40"/>
        <v>61444.444444444482</v>
      </c>
      <c r="AD104">
        <v>2194.4444444444443</v>
      </c>
      <c r="AE104">
        <f t="shared" si="38"/>
        <v>1331.2962962962972</v>
      </c>
      <c r="AF104">
        <f t="shared" si="39"/>
        <v>972.87037037037101</v>
      </c>
    </row>
    <row r="105" spans="3:36" ht="15">
      <c r="C105" s="223">
        <f>C59/D61</f>
        <v>1.050459833987917</v>
      </c>
      <c r="D105" s="224">
        <f>D61+D48+D35</f>
        <v>58592738</v>
      </c>
      <c r="F105">
        <f>D61/1000*10*1.18</f>
        <v>251121.2634</v>
      </c>
      <c r="AA105" t="s">
        <v>45</v>
      </c>
      <c r="AB105">
        <f t="shared" si="40"/>
        <v>59250.000000000036</v>
      </c>
      <c r="AD105">
        <v>2194.4444444444443</v>
      </c>
      <c r="AE105">
        <f t="shared" si="38"/>
        <v>1283.7500000000007</v>
      </c>
      <c r="AF105">
        <f t="shared" si="39"/>
        <v>938.12500000000057</v>
      </c>
      <c r="AI105">
        <f>AI59*1.18</f>
        <v>17478.041999999998</v>
      </c>
      <c r="AJ105">
        <f>AJ59*1.18</f>
        <v>6001.8017921575065</v>
      </c>
    </row>
    <row r="106" spans="3:36">
      <c r="P106" t="s">
        <v>46</v>
      </c>
      <c r="AA106" t="s">
        <v>47</v>
      </c>
      <c r="AB106">
        <f t="shared" si="40"/>
        <v>57055.555555555591</v>
      </c>
      <c r="AD106">
        <v>2194.4444444444443</v>
      </c>
      <c r="AE106">
        <f t="shared" si="38"/>
        <v>1236.2037037037046</v>
      </c>
      <c r="AF106">
        <f t="shared" si="39"/>
        <v>903.37962962963013</v>
      </c>
    </row>
    <row r="107" spans="3:36">
      <c r="I107" t="s">
        <v>45</v>
      </c>
      <c r="J107">
        <v>41.28</v>
      </c>
      <c r="L107">
        <f>J107*0.7</f>
        <v>28.895999999999997</v>
      </c>
      <c r="M107">
        <f>L107*1000000</f>
        <v>28895999.999999996</v>
      </c>
      <c r="O107">
        <f>M107*1.1</f>
        <v>31785600</v>
      </c>
      <c r="P107">
        <v>3200000</v>
      </c>
      <c r="S107">
        <f t="shared" ref="S107:S159" si="41">(U6+I6)/G6</f>
        <v>0.78990820037966059</v>
      </c>
      <c r="U107" s="221">
        <f>(U6+I6)/G6</f>
        <v>0.78990820037966059</v>
      </c>
      <c r="AA107" t="s">
        <v>48</v>
      </c>
      <c r="AB107">
        <f t="shared" si="40"/>
        <v>54861.111111111146</v>
      </c>
      <c r="AD107">
        <v>2194.4444444444443</v>
      </c>
      <c r="AE107">
        <f t="shared" si="38"/>
        <v>1188.6574074074081</v>
      </c>
      <c r="AF107">
        <f t="shared" si="39"/>
        <v>868.63425925925992</v>
      </c>
    </row>
    <row r="108" spans="3:36">
      <c r="I108" t="s">
        <v>49</v>
      </c>
      <c r="J108">
        <v>45.31</v>
      </c>
      <c r="L108">
        <f t="shared" ref="L108:L109" si="42">J108*0.7</f>
        <v>31.716999999999999</v>
      </c>
      <c r="M108">
        <f t="shared" ref="M108:M109" si="43">L108*1000000</f>
        <v>31717000</v>
      </c>
      <c r="O108">
        <f t="shared" ref="O108:O109" si="44">M108*1.1</f>
        <v>34888700</v>
      </c>
      <c r="P108">
        <v>3500000</v>
      </c>
      <c r="S108">
        <f t="shared" si="41"/>
        <v>0.41228356397957749</v>
      </c>
      <c r="U108" s="221">
        <f>(U17+I17)/G17</f>
        <v>1.1629070420415517</v>
      </c>
      <c r="AA108" t="s">
        <v>42</v>
      </c>
      <c r="AB108">
        <f t="shared" si="40"/>
        <v>52666.666666666701</v>
      </c>
      <c r="AD108">
        <v>2194.4444444444443</v>
      </c>
      <c r="AE108">
        <f t="shared" si="38"/>
        <v>1141.111111111112</v>
      </c>
      <c r="AF108">
        <f t="shared" si="39"/>
        <v>833.88888888888948</v>
      </c>
    </row>
    <row r="109" spans="3:36">
      <c r="I109" t="s">
        <v>48</v>
      </c>
      <c r="J109">
        <f>52.62</f>
        <v>52.62</v>
      </c>
      <c r="L109">
        <f t="shared" si="42"/>
        <v>36.833999999999996</v>
      </c>
      <c r="M109">
        <f t="shared" si="43"/>
        <v>36833999.999999993</v>
      </c>
      <c r="O109">
        <f t="shared" si="44"/>
        <v>40517399.999999993</v>
      </c>
      <c r="P109">
        <v>4100000</v>
      </c>
      <c r="S109" t="e">
        <f t="shared" si="41"/>
        <v>#DIV/0!</v>
      </c>
      <c r="U109" s="221">
        <f>(U28+I28)/G28</f>
        <v>0.83072350255720862</v>
      </c>
      <c r="AA109" t="s">
        <v>43</v>
      </c>
      <c r="AB109">
        <f t="shared" si="40"/>
        <v>50472.222222222255</v>
      </c>
      <c r="AD109">
        <v>2194.4444444444443</v>
      </c>
      <c r="AE109">
        <f t="shared" si="38"/>
        <v>1093.5648148148155</v>
      </c>
      <c r="AF109">
        <f t="shared" si="39"/>
        <v>799.14351851851904</v>
      </c>
    </row>
    <row r="110" spans="3:36">
      <c r="L110">
        <f>SUM(L107:L109)</f>
        <v>97.447000000000003</v>
      </c>
      <c r="O110">
        <f>SUM(O107:O109)</f>
        <v>107191700</v>
      </c>
      <c r="P110">
        <v>10800000</v>
      </c>
      <c r="S110" t="e">
        <f t="shared" si="41"/>
        <v>#DIV/0!</v>
      </c>
      <c r="U110" s="221">
        <f>(U41+I41)/G41</f>
        <v>1.0515646194268427</v>
      </c>
      <c r="AA110" t="s">
        <v>44</v>
      </c>
      <c r="AB110">
        <f t="shared" si="40"/>
        <v>48277.77777777781</v>
      </c>
      <c r="AD110">
        <v>2194.4444444444443</v>
      </c>
      <c r="AE110">
        <f t="shared" si="38"/>
        <v>1046.0185185185194</v>
      </c>
      <c r="AF110">
        <f t="shared" si="39"/>
        <v>764.39814814814872</v>
      </c>
    </row>
    <row r="111" spans="3:36">
      <c r="L111">
        <f>L110*1000000</f>
        <v>97447000</v>
      </c>
      <c r="S111" t="e">
        <f t="shared" si="41"/>
        <v>#DIV/0!</v>
      </c>
      <c r="U111" s="221">
        <f>(U54+I54)/G54</f>
        <v>0.84361480367840236</v>
      </c>
      <c r="AA111" t="s">
        <v>37</v>
      </c>
      <c r="AB111">
        <f t="shared" si="40"/>
        <v>46083.333333333365</v>
      </c>
      <c r="AD111">
        <v>2194.4444444444443</v>
      </c>
      <c r="AE111">
        <f t="shared" si="38"/>
        <v>998.47222222222297</v>
      </c>
      <c r="AF111">
        <f t="shared" si="39"/>
        <v>729.65277777777828</v>
      </c>
    </row>
    <row r="112" spans="3:36">
      <c r="L112" s="225">
        <f>L111/D105</f>
        <v>1.6631241912606987</v>
      </c>
      <c r="S112">
        <f t="shared" si="41"/>
        <v>0.78990820037966059</v>
      </c>
      <c r="U112" s="221">
        <f>AVERAGE(U107:U111)</f>
        <v>0.93574363361673318</v>
      </c>
      <c r="AA112" t="s">
        <v>1</v>
      </c>
      <c r="AB112">
        <f t="shared" si="40"/>
        <v>43888.88888888892</v>
      </c>
      <c r="AD112">
        <v>2194.4444444444443</v>
      </c>
      <c r="AE112">
        <f t="shared" si="38"/>
        <v>950.92592592592655</v>
      </c>
      <c r="AF112">
        <f t="shared" si="39"/>
        <v>694.90740740740785</v>
      </c>
    </row>
    <row r="113" spans="3:37">
      <c r="S113" t="e">
        <f t="shared" si="41"/>
        <v>#DIV/0!</v>
      </c>
      <c r="AA113" t="s">
        <v>38</v>
      </c>
      <c r="AB113">
        <f t="shared" si="40"/>
        <v>41694.444444444474</v>
      </c>
      <c r="AD113">
        <v>2194.4444444444443</v>
      </c>
      <c r="AE113">
        <f t="shared" si="38"/>
        <v>903.37962962963036</v>
      </c>
      <c r="AF113">
        <f t="shared" si="39"/>
        <v>660.16203703703752</v>
      </c>
    </row>
    <row r="114" spans="3:37">
      <c r="D114" t="s">
        <v>50</v>
      </c>
      <c r="S114" t="e">
        <f t="shared" si="41"/>
        <v>#DIV/0!</v>
      </c>
      <c r="AA114" t="s">
        <v>39</v>
      </c>
      <c r="AB114">
        <f t="shared" si="40"/>
        <v>39500.000000000029</v>
      </c>
      <c r="AD114">
        <v>2194.4444444444443</v>
      </c>
      <c r="AE114">
        <f t="shared" si="38"/>
        <v>855.83333333333394</v>
      </c>
      <c r="AF114">
        <f t="shared" si="39"/>
        <v>625.41666666666708</v>
      </c>
    </row>
    <row r="115" spans="3:37">
      <c r="D115">
        <v>28067660</v>
      </c>
      <c r="E115">
        <v>38.590000000000003</v>
      </c>
      <c r="F115">
        <f>E115*1000000</f>
        <v>38590000</v>
      </c>
      <c r="G115">
        <f>D115/F115</f>
        <v>0.72732987820678929</v>
      </c>
      <c r="L115">
        <v>34.36</v>
      </c>
      <c r="S115" t="e">
        <f t="shared" si="41"/>
        <v>#DIV/0!</v>
      </c>
      <c r="AA115" t="s">
        <v>40</v>
      </c>
      <c r="AB115">
        <f t="shared" si="40"/>
        <v>37305.555555555584</v>
      </c>
      <c r="AD115">
        <v>2194.4444444444443</v>
      </c>
      <c r="AE115">
        <f t="shared" si="38"/>
        <v>808.28703703703775</v>
      </c>
      <c r="AF115">
        <f t="shared" si="39"/>
        <v>590.67129629629676</v>
      </c>
    </row>
    <row r="116" spans="3:37">
      <c r="D116">
        <v>24887925</v>
      </c>
      <c r="E116">
        <v>35.42</v>
      </c>
      <c r="F116">
        <f t="shared" ref="F116:F119" si="45">E116*1000000</f>
        <v>35420000</v>
      </c>
      <c r="G116">
        <f t="shared" ref="G116:G119" si="46">D116/F116</f>
        <v>0.7026517504234896</v>
      </c>
      <c r="L116">
        <v>41.28</v>
      </c>
      <c r="S116" t="e">
        <f t="shared" si="41"/>
        <v>#VALUE!</v>
      </c>
      <c r="AA116" t="s">
        <v>41</v>
      </c>
      <c r="AB116">
        <f t="shared" si="40"/>
        <v>35111.111111111139</v>
      </c>
      <c r="AD116">
        <v>2194.4444444444443</v>
      </c>
      <c r="AE116">
        <f t="shared" si="38"/>
        <v>760.74074074074133</v>
      </c>
      <c r="AF116">
        <f t="shared" si="39"/>
        <v>555.92592592592644</v>
      </c>
    </row>
    <row r="117" spans="3:37">
      <c r="D117">
        <v>18691328</v>
      </c>
      <c r="E117">
        <v>30.1</v>
      </c>
      <c r="F117">
        <f t="shared" si="45"/>
        <v>30100000</v>
      </c>
      <c r="G117">
        <f t="shared" si="46"/>
        <v>0.62097435215946839</v>
      </c>
      <c r="L117">
        <f>L116/L115</f>
        <v>1.2013969732246799</v>
      </c>
      <c r="S117" t="e">
        <f t="shared" si="41"/>
        <v>#VALUE!</v>
      </c>
      <c r="AA117" t="s">
        <v>45</v>
      </c>
      <c r="AB117">
        <f t="shared" si="40"/>
        <v>32916.666666666693</v>
      </c>
      <c r="AD117">
        <v>2194.4444444444443</v>
      </c>
      <c r="AE117">
        <f t="shared" si="38"/>
        <v>713.19444444444514</v>
      </c>
      <c r="AF117">
        <f t="shared" si="39"/>
        <v>521.180555555556</v>
      </c>
    </row>
    <row r="118" spans="3:37">
      <c r="D118">
        <v>18619947</v>
      </c>
      <c r="E118">
        <v>29.05</v>
      </c>
      <c r="F118">
        <f t="shared" si="45"/>
        <v>29050000</v>
      </c>
      <c r="G118">
        <f t="shared" si="46"/>
        <v>0.64096203098106708</v>
      </c>
      <c r="S118">
        <f t="shared" si="41"/>
        <v>1.1629070420415517</v>
      </c>
      <c r="AA118" t="s">
        <v>47</v>
      </c>
      <c r="AB118">
        <f t="shared" si="40"/>
        <v>30722.222222222248</v>
      </c>
      <c r="AD118">
        <v>2194.4444444444443</v>
      </c>
      <c r="AE118">
        <f t="shared" si="38"/>
        <v>665.64814814814872</v>
      </c>
      <c r="AF118">
        <f t="shared" si="39"/>
        <v>486.43518518518562</v>
      </c>
    </row>
    <row r="119" spans="3:37">
      <c r="D119">
        <v>21281463</v>
      </c>
      <c r="E119">
        <v>30.38</v>
      </c>
      <c r="F119">
        <f t="shared" si="45"/>
        <v>30380000</v>
      </c>
      <c r="G119">
        <f t="shared" si="46"/>
        <v>0.70050898617511526</v>
      </c>
      <c r="S119">
        <f t="shared" si="41"/>
        <v>0</v>
      </c>
      <c r="AA119" t="s">
        <v>48</v>
      </c>
      <c r="AB119">
        <f t="shared" si="40"/>
        <v>28527.777777777803</v>
      </c>
      <c r="AD119">
        <v>2194.4444444444443</v>
      </c>
      <c r="AE119">
        <f t="shared" si="38"/>
        <v>618.10185185185242</v>
      </c>
      <c r="AF119">
        <f t="shared" si="39"/>
        <v>451.68981481481524</v>
      </c>
      <c r="AG119">
        <f>SUM(AF96:AF119)</f>
        <v>20430.277777777781</v>
      </c>
    </row>
    <row r="120" spans="3:37">
      <c r="G120">
        <f>AVERAGE(G115:G119)</f>
        <v>0.67848539958918597</v>
      </c>
      <c r="S120" t="e">
        <f t="shared" si="41"/>
        <v>#DIV/0!</v>
      </c>
      <c r="AA120" t="s">
        <v>42</v>
      </c>
      <c r="AB120">
        <f t="shared" si="40"/>
        <v>26333.333333333358</v>
      </c>
      <c r="AD120">
        <v>2194.4444444444443</v>
      </c>
      <c r="AE120">
        <f t="shared" si="38"/>
        <v>570.55555555555611</v>
      </c>
      <c r="AF120">
        <f t="shared" si="39"/>
        <v>416.9444444444448</v>
      </c>
      <c r="AG120">
        <f>SUM(AE96:AE119)</f>
        <v>27957.222222222241</v>
      </c>
      <c r="AK120">
        <v>1.0869071860639612</v>
      </c>
    </row>
    <row r="121" spans="3:37">
      <c r="S121" t="e">
        <f t="shared" si="41"/>
        <v>#DIV/0!</v>
      </c>
      <c r="AA121" t="s">
        <v>43</v>
      </c>
      <c r="AB121">
        <f t="shared" si="40"/>
        <v>24138.888888888912</v>
      </c>
      <c r="AD121">
        <v>2194.4444444444443</v>
      </c>
      <c r="AE121">
        <f t="shared" si="38"/>
        <v>523.00925925925981</v>
      </c>
      <c r="AF121">
        <f t="shared" si="39"/>
        <v>382.19907407407442</v>
      </c>
      <c r="AK121">
        <v>1.1780316643512869</v>
      </c>
    </row>
    <row r="122" spans="3:37">
      <c r="S122" t="e">
        <f t="shared" si="41"/>
        <v>#DIV/0!</v>
      </c>
      <c r="AA122" t="s">
        <v>44</v>
      </c>
      <c r="AB122">
        <f t="shared" si="40"/>
        <v>21944.444444444467</v>
      </c>
      <c r="AD122">
        <v>2194.4444444444443</v>
      </c>
      <c r="AE122">
        <f t="shared" si="38"/>
        <v>475.4629629629635</v>
      </c>
      <c r="AF122">
        <f t="shared" si="39"/>
        <v>347.45370370370409</v>
      </c>
      <c r="AK122">
        <v>1.0831641862021957</v>
      </c>
    </row>
    <row r="123" spans="3:37">
      <c r="S123">
        <f t="shared" si="41"/>
        <v>1.1629070420415517</v>
      </c>
      <c r="AA123" t="s">
        <v>37</v>
      </c>
      <c r="AB123">
        <f t="shared" si="40"/>
        <v>19750.000000000022</v>
      </c>
      <c r="AD123">
        <v>2194.4444444444443</v>
      </c>
      <c r="AE123">
        <f t="shared" si="38"/>
        <v>427.91666666666714</v>
      </c>
      <c r="AF123">
        <f t="shared" si="39"/>
        <v>312.70833333333366</v>
      </c>
      <c r="AK123">
        <v>1.0939480355332913</v>
      </c>
    </row>
    <row r="124" spans="3:37">
      <c r="D124" t="s">
        <v>51</v>
      </c>
      <c r="E124" t="s">
        <v>52</v>
      </c>
      <c r="G124" t="s">
        <v>50</v>
      </c>
      <c r="S124" t="e">
        <f t="shared" si="41"/>
        <v>#DIV/0!</v>
      </c>
      <c r="AA124" t="s">
        <v>1</v>
      </c>
      <c r="AB124">
        <f t="shared" si="40"/>
        <v>17555.555555555577</v>
      </c>
      <c r="AD124">
        <v>2194.4444444444443</v>
      </c>
      <c r="AE124">
        <f t="shared" si="38"/>
        <v>380.37037037037084</v>
      </c>
      <c r="AF124">
        <f t="shared" si="39"/>
        <v>277.96296296296333</v>
      </c>
      <c r="AK124">
        <v>1.0533004475634602</v>
      </c>
    </row>
    <row r="125" spans="3:37">
      <c r="C125" t="s">
        <v>37</v>
      </c>
      <c r="D125" s="226">
        <v>10.151400000000001</v>
      </c>
      <c r="E125" s="226">
        <v>5.1778499999999994</v>
      </c>
      <c r="G125" s="227">
        <v>10021737</v>
      </c>
      <c r="H125" s="227">
        <v>4888527</v>
      </c>
      <c r="J125" s="228">
        <f>D125*1000000</f>
        <v>10151400</v>
      </c>
      <c r="K125" s="228"/>
      <c r="L125" s="228">
        <f>E125*1000000</f>
        <v>5177849.9999999991</v>
      </c>
      <c r="O125">
        <f>J125/G125*100</f>
        <v>101.29381762862066</v>
      </c>
      <c r="P125">
        <f>L125/H125*100</f>
        <v>105.91840855128751</v>
      </c>
      <c r="S125" t="e">
        <f t="shared" si="41"/>
        <v>#DIV/0!</v>
      </c>
      <c r="AA125" t="s">
        <v>38</v>
      </c>
      <c r="AB125">
        <f t="shared" si="40"/>
        <v>15361.111111111131</v>
      </c>
      <c r="AD125">
        <v>2194.4444444444443</v>
      </c>
      <c r="AE125">
        <f t="shared" si="38"/>
        <v>332.82407407407453</v>
      </c>
      <c r="AF125">
        <f t="shared" si="39"/>
        <v>243.21759259259292</v>
      </c>
    </row>
    <row r="126" spans="3:37">
      <c r="C126" t="s">
        <v>1</v>
      </c>
      <c r="D126" s="226">
        <v>8.3504000000000005</v>
      </c>
      <c r="E126" s="226">
        <v>4.8995999999999995</v>
      </c>
      <c r="G126" s="227">
        <v>8642150</v>
      </c>
      <c r="H126" s="227">
        <v>4356700</v>
      </c>
      <c r="J126" s="228">
        <f t="shared" ref="J126:J129" si="47">D126*1000000</f>
        <v>8350400.0000000009</v>
      </c>
      <c r="K126" s="228"/>
      <c r="L126" s="228">
        <f t="shared" ref="L126:L129" si="48">E126*1000000</f>
        <v>4899599.9999999991</v>
      </c>
      <c r="O126">
        <f t="shared" ref="O126:O129" si="49">J126/G126*100</f>
        <v>96.62410395561291</v>
      </c>
      <c r="P126">
        <f t="shared" ref="P126:P129" si="50">L126/H126*100</f>
        <v>112.4612665549613</v>
      </c>
      <c r="S126" t="e">
        <f t="shared" si="41"/>
        <v>#DIV/0!</v>
      </c>
      <c r="AA126" t="s">
        <v>39</v>
      </c>
      <c r="AB126">
        <f t="shared" si="40"/>
        <v>13166.666666666686</v>
      </c>
      <c r="AD126">
        <v>2194.4444444444443</v>
      </c>
      <c r="AE126">
        <f t="shared" si="38"/>
        <v>285.27777777777823</v>
      </c>
      <c r="AF126">
        <f t="shared" si="39"/>
        <v>208.47222222222254</v>
      </c>
    </row>
    <row r="127" spans="3:37">
      <c r="C127" t="s">
        <v>2</v>
      </c>
      <c r="D127" s="226">
        <v>7.2055999999999996</v>
      </c>
      <c r="E127" s="226">
        <v>4.5473420000000004</v>
      </c>
      <c r="G127" s="227">
        <v>6991691</v>
      </c>
      <c r="H127" s="227">
        <v>3205516</v>
      </c>
      <c r="J127" s="228">
        <f t="shared" si="47"/>
        <v>7205600</v>
      </c>
      <c r="K127" s="228"/>
      <c r="L127" s="228">
        <f t="shared" si="48"/>
        <v>4547342</v>
      </c>
      <c r="O127">
        <f t="shared" si="49"/>
        <v>103.05947445331896</v>
      </c>
      <c r="P127">
        <f t="shared" si="50"/>
        <v>141.85990648619443</v>
      </c>
      <c r="S127" t="e">
        <f t="shared" si="41"/>
        <v>#VALUE!</v>
      </c>
      <c r="AA127" t="s">
        <v>40</v>
      </c>
      <c r="AB127">
        <f t="shared" si="40"/>
        <v>10972.222222222241</v>
      </c>
      <c r="AD127">
        <v>2194.4444444444443</v>
      </c>
      <c r="AE127">
        <f t="shared" si="38"/>
        <v>237.73148148148189</v>
      </c>
      <c r="AF127">
        <f t="shared" si="39"/>
        <v>173.72685185185216</v>
      </c>
    </row>
    <row r="128" spans="3:37">
      <c r="C128" t="s">
        <v>3</v>
      </c>
      <c r="D128" s="226">
        <v>6.6958999999999991</v>
      </c>
      <c r="E128" s="226">
        <v>4.4580609999999998</v>
      </c>
      <c r="G128" s="227">
        <v>6664274</v>
      </c>
      <c r="H128" s="227">
        <v>3116140</v>
      </c>
      <c r="J128" s="228">
        <f t="shared" si="47"/>
        <v>6695899.9999999991</v>
      </c>
      <c r="K128" s="228"/>
      <c r="L128" s="228">
        <f t="shared" si="48"/>
        <v>4458061</v>
      </c>
      <c r="O128">
        <f t="shared" si="49"/>
        <v>100.47456031969872</v>
      </c>
      <c r="P128">
        <f t="shared" si="50"/>
        <v>143.06356582181803</v>
      </c>
      <c r="S128" t="e">
        <f t="shared" si="41"/>
        <v>#VALUE!</v>
      </c>
      <c r="AA128" t="s">
        <v>41</v>
      </c>
      <c r="AB128">
        <f t="shared" si="40"/>
        <v>8777.7777777777956</v>
      </c>
      <c r="AD128">
        <v>2194.4444444444443</v>
      </c>
      <c r="AE128">
        <f t="shared" si="38"/>
        <v>190.18518518518556</v>
      </c>
      <c r="AF128">
        <f t="shared" si="39"/>
        <v>138.98148148148178</v>
      </c>
    </row>
    <row r="129" spans="2:32">
      <c r="C129" t="s">
        <v>4</v>
      </c>
      <c r="D129" s="226">
        <v>7.3877999999999995</v>
      </c>
      <c r="E129" s="226">
        <v>4.7298289999999996</v>
      </c>
      <c r="G129" s="227">
        <v>7778291</v>
      </c>
      <c r="H129" s="227">
        <v>3690624</v>
      </c>
      <c r="J129" s="228">
        <f t="shared" si="47"/>
        <v>7387799.9999999991</v>
      </c>
      <c r="K129" s="228"/>
      <c r="L129" s="228">
        <f t="shared" si="48"/>
        <v>4729829</v>
      </c>
      <c r="O129">
        <f t="shared" si="49"/>
        <v>94.979732694495482</v>
      </c>
      <c r="P129">
        <f t="shared" si="50"/>
        <v>128.15797545347345</v>
      </c>
      <c r="S129">
        <f t="shared" si="41"/>
        <v>0.83072350255720862</v>
      </c>
      <c r="AA129" t="s">
        <v>45</v>
      </c>
      <c r="AB129">
        <f t="shared" si="40"/>
        <v>6583.3333333333512</v>
      </c>
      <c r="AD129">
        <v>2194.4444444444443</v>
      </c>
      <c r="AE129">
        <f t="shared" si="38"/>
        <v>142.63888888888928</v>
      </c>
      <c r="AF129">
        <f t="shared" si="39"/>
        <v>104.23611111111138</v>
      </c>
    </row>
    <row r="130" spans="2:32">
      <c r="S130">
        <f t="shared" si="41"/>
        <v>0</v>
      </c>
      <c r="AA130" t="s">
        <v>47</v>
      </c>
      <c r="AB130">
        <f t="shared" si="40"/>
        <v>4388.8888888889069</v>
      </c>
      <c r="AD130">
        <v>2194.4444444444443</v>
      </c>
      <c r="AE130">
        <f t="shared" si="38"/>
        <v>95.092592592592993</v>
      </c>
      <c r="AF130">
        <f t="shared" si="39"/>
        <v>69.490740740741032</v>
      </c>
    </row>
    <row r="131" spans="2:32">
      <c r="S131" t="e">
        <f t="shared" si="41"/>
        <v>#DIV/0!</v>
      </c>
      <c r="AA131" t="s">
        <v>48</v>
      </c>
      <c r="AB131">
        <f t="shared" si="40"/>
        <v>2194.4444444444625</v>
      </c>
      <c r="AD131">
        <v>2194.4444444444443</v>
      </c>
      <c r="AE131">
        <f t="shared" si="38"/>
        <v>47.546296296296696</v>
      </c>
      <c r="AF131">
        <f t="shared" si="39"/>
        <v>34.745370370370658</v>
      </c>
    </row>
    <row r="132" spans="2:32">
      <c r="C132" s="330" t="s">
        <v>53</v>
      </c>
      <c r="D132">
        <v>126.2031166</v>
      </c>
      <c r="E132">
        <v>110.96170740000001</v>
      </c>
      <c r="F132">
        <v>107.65001579999999</v>
      </c>
      <c r="G132">
        <v>93.431231800000006</v>
      </c>
      <c r="H132">
        <v>84.465270799999999</v>
      </c>
      <c r="I132">
        <v>66.610001400000002</v>
      </c>
      <c r="J132">
        <v>62.517834399999998</v>
      </c>
      <c r="K132">
        <v>69.094004999999996</v>
      </c>
      <c r="L132">
        <v>85.627140400000002</v>
      </c>
      <c r="M132">
        <v>98.785593399999996</v>
      </c>
      <c r="N132">
        <v>110.4039906</v>
      </c>
      <c r="O132">
        <v>128.62110699999997</v>
      </c>
      <c r="S132" t="e">
        <f t="shared" si="41"/>
        <v>#DIV/0!</v>
      </c>
      <c r="AE132">
        <f>AVERAGE(AE96:AE131)</f>
        <v>879.60648148148209</v>
      </c>
      <c r="AF132">
        <f>AVERAGE(AF96:AF131)</f>
        <v>642.78935185185196</v>
      </c>
    </row>
    <row r="133" spans="2:32">
      <c r="B133" s="229">
        <v>1.0837941862627667</v>
      </c>
      <c r="C133" s="330"/>
      <c r="D133">
        <f>D132*1000000</f>
        <v>126203116.59999999</v>
      </c>
      <c r="E133">
        <f t="shared" ref="E133:O133" si="51">E132*1000000</f>
        <v>110961707.40000001</v>
      </c>
      <c r="F133">
        <f t="shared" si="51"/>
        <v>107650015.8</v>
      </c>
      <c r="G133">
        <f t="shared" si="51"/>
        <v>93431231.800000012</v>
      </c>
      <c r="H133">
        <f t="shared" si="51"/>
        <v>84465270.799999997</v>
      </c>
      <c r="I133">
        <f t="shared" si="51"/>
        <v>66610001.399999999</v>
      </c>
      <c r="J133">
        <f t="shared" si="51"/>
        <v>62517834.399999999</v>
      </c>
      <c r="K133">
        <f t="shared" si="51"/>
        <v>69094005</v>
      </c>
      <c r="L133">
        <f t="shared" si="51"/>
        <v>85627140.400000006</v>
      </c>
      <c r="M133">
        <f t="shared" si="51"/>
        <v>98785593.399999991</v>
      </c>
      <c r="N133">
        <f t="shared" si="51"/>
        <v>110403990.59999999</v>
      </c>
      <c r="O133">
        <f t="shared" si="51"/>
        <v>128621106.99999997</v>
      </c>
      <c r="S133" t="e">
        <f t="shared" si="41"/>
        <v>#DIV/0!</v>
      </c>
      <c r="AF133">
        <f>AE132-AF132</f>
        <v>236.81712962963013</v>
      </c>
    </row>
    <row r="134" spans="2:32">
      <c r="B134" s="229">
        <v>1.17455147626811</v>
      </c>
      <c r="D134" t="s">
        <v>42</v>
      </c>
      <c r="E134" t="s">
        <v>43</v>
      </c>
      <c r="F134" t="s">
        <v>44</v>
      </c>
      <c r="G134" t="s">
        <v>37</v>
      </c>
      <c r="H134" t="s">
        <v>1</v>
      </c>
      <c r="I134" t="s">
        <v>38</v>
      </c>
      <c r="J134" t="s">
        <v>39</v>
      </c>
      <c r="K134" t="s">
        <v>40</v>
      </c>
      <c r="L134" t="s">
        <v>41</v>
      </c>
      <c r="M134" t="s">
        <v>45</v>
      </c>
      <c r="N134" t="s">
        <v>47</v>
      </c>
      <c r="O134" t="s">
        <v>48</v>
      </c>
      <c r="S134">
        <f t="shared" si="41"/>
        <v>0.83072350255720862</v>
      </c>
    </row>
    <row r="135" spans="2:32">
      <c r="B135" s="229">
        <v>1.0790983904407434</v>
      </c>
      <c r="C135" s="330" t="s">
        <v>54</v>
      </c>
      <c r="D135" s="230">
        <v>110.21496999999999</v>
      </c>
      <c r="E135">
        <v>97.207839000000007</v>
      </c>
      <c r="F135">
        <v>93.973524999999995</v>
      </c>
      <c r="G135">
        <v>81.012127000000007</v>
      </c>
      <c r="H135">
        <v>73.351912999999996</v>
      </c>
      <c r="I135">
        <v>58.756174999999999</v>
      </c>
      <c r="J135">
        <v>55.631228000000007</v>
      </c>
      <c r="K135">
        <v>61.017718000000002</v>
      </c>
      <c r="L135">
        <v>74.823293000000007</v>
      </c>
      <c r="M135">
        <v>86.579277000000005</v>
      </c>
      <c r="N135">
        <v>96.253562000000002</v>
      </c>
      <c r="O135">
        <v>111.549674</v>
      </c>
      <c r="S135" t="e">
        <f t="shared" si="41"/>
        <v>#DIV/0!</v>
      </c>
    </row>
    <row r="136" spans="2:32">
      <c r="B136" s="229">
        <v>1.0908266860265499</v>
      </c>
      <c r="C136" s="330"/>
      <c r="D136" s="228">
        <f>D135*1000000</f>
        <v>110214970</v>
      </c>
      <c r="E136" s="228">
        <f t="shared" ref="E136:O136" si="52">E135*1000000</f>
        <v>97207839</v>
      </c>
      <c r="F136" s="228">
        <f t="shared" si="52"/>
        <v>93973525</v>
      </c>
      <c r="G136" s="228">
        <f t="shared" si="52"/>
        <v>81012127</v>
      </c>
      <c r="H136" s="228">
        <f t="shared" si="52"/>
        <v>73351913</v>
      </c>
      <c r="I136" s="228">
        <f t="shared" si="52"/>
        <v>58756175</v>
      </c>
      <c r="J136" s="228">
        <f t="shared" si="52"/>
        <v>55631228.000000007</v>
      </c>
      <c r="K136" s="228">
        <f t="shared" si="52"/>
        <v>61017718</v>
      </c>
      <c r="L136" s="228">
        <f t="shared" si="52"/>
        <v>74823293</v>
      </c>
      <c r="M136" s="228">
        <f t="shared" si="52"/>
        <v>86579277</v>
      </c>
      <c r="N136" s="228">
        <f t="shared" si="52"/>
        <v>96253562</v>
      </c>
      <c r="O136" s="228">
        <f t="shared" si="52"/>
        <v>111549674</v>
      </c>
      <c r="S136" t="e">
        <f t="shared" si="41"/>
        <v>#DIV/0!</v>
      </c>
    </row>
    <row r="137" spans="2:32">
      <c r="B137" s="229">
        <v>1.050459833987917</v>
      </c>
      <c r="C137" t="s">
        <v>55</v>
      </c>
      <c r="D137">
        <v>1.19</v>
      </c>
      <c r="E137">
        <v>1.19</v>
      </c>
      <c r="F137">
        <v>1.19</v>
      </c>
      <c r="G137">
        <v>1.19</v>
      </c>
      <c r="H137">
        <v>1.19</v>
      </c>
      <c r="I137">
        <v>1.19</v>
      </c>
      <c r="J137">
        <v>1.19</v>
      </c>
      <c r="K137">
        <v>1.19</v>
      </c>
      <c r="L137">
        <v>1.19</v>
      </c>
      <c r="M137">
        <v>1.19</v>
      </c>
      <c r="N137">
        <v>1.19</v>
      </c>
      <c r="O137">
        <v>1.19</v>
      </c>
      <c r="S137" t="e">
        <f t="shared" si="41"/>
        <v>#DIV/0!</v>
      </c>
    </row>
    <row r="138" spans="2:32">
      <c r="B138" s="229">
        <f>AVERAGE(B133:B137)</f>
        <v>1.0957461145972174</v>
      </c>
      <c r="C138" t="s">
        <v>56</v>
      </c>
      <c r="D138" s="231">
        <f>D136*D137</f>
        <v>131155814.3</v>
      </c>
      <c r="E138" s="231">
        <f t="shared" ref="E138:O138" si="53">E136*E137</f>
        <v>115677328.41</v>
      </c>
      <c r="F138" s="231">
        <f t="shared" si="53"/>
        <v>111828494.75</v>
      </c>
      <c r="G138" s="231">
        <f t="shared" si="53"/>
        <v>96404431.129999995</v>
      </c>
      <c r="H138" s="231">
        <f t="shared" si="53"/>
        <v>87288776.469999999</v>
      </c>
      <c r="I138" s="231">
        <f t="shared" si="53"/>
        <v>69919848.25</v>
      </c>
      <c r="J138" s="231">
        <f t="shared" si="53"/>
        <v>66201161.320000008</v>
      </c>
      <c r="K138" s="231">
        <f t="shared" si="53"/>
        <v>72611084.420000002</v>
      </c>
      <c r="L138" s="231">
        <f t="shared" si="53"/>
        <v>89039718.670000002</v>
      </c>
      <c r="M138" s="231">
        <f t="shared" si="53"/>
        <v>103029339.63</v>
      </c>
      <c r="N138" s="231">
        <f t="shared" si="53"/>
        <v>114541738.78</v>
      </c>
      <c r="O138" s="231">
        <f t="shared" si="53"/>
        <v>132744112.05999999</v>
      </c>
      <c r="S138" t="e">
        <f t="shared" si="41"/>
        <v>#DIV/0!</v>
      </c>
    </row>
    <row r="139" spans="2:32">
      <c r="B139" t="s">
        <v>57</v>
      </c>
      <c r="C139">
        <f>0.00023900014323349*1.1</f>
        <v>2.6290015755683899E-4</v>
      </c>
      <c r="D139" s="231">
        <f t="shared" ref="D139:O139" si="54">D136*ф1</f>
        <v>28975.532978122283</v>
      </c>
      <c r="E139" s="231">
        <f t="shared" si="54"/>
        <v>25555.956188859836</v>
      </c>
      <c r="F139" s="231">
        <f t="shared" si="54"/>
        <v>24705.654528671548</v>
      </c>
      <c r="G139" s="231">
        <f t="shared" si="54"/>
        <v>21298.100952314649</v>
      </c>
      <c r="H139" s="231">
        <f t="shared" si="54"/>
        <v>19284.229484795545</v>
      </c>
      <c r="I139" s="231">
        <f t="shared" si="54"/>
        <v>15447.007664937204</v>
      </c>
      <c r="J139" s="231">
        <f t="shared" si="54"/>
        <v>14625.458606280436</v>
      </c>
      <c r="K139" s="231">
        <f t="shared" si="54"/>
        <v>16041.56767595877</v>
      </c>
      <c r="L139" s="231">
        <f t="shared" si="54"/>
        <v>19671.055518621528</v>
      </c>
      <c r="M139" s="231">
        <f t="shared" si="54"/>
        <v>22761.705564457206</v>
      </c>
      <c r="N139" s="231">
        <f t="shared" si="54"/>
        <v>25305.07661520697</v>
      </c>
      <c r="O139" s="231">
        <f t="shared" si="54"/>
        <v>29326.426870014027</v>
      </c>
      <c r="S139" t="e">
        <f t="shared" si="41"/>
        <v>#DIV/0!</v>
      </c>
    </row>
    <row r="140" spans="2:32">
      <c r="B140" t="s">
        <v>58</v>
      </c>
      <c r="C140">
        <f>0.000695999832867408*1.1</f>
        <v>7.6559981615414877E-4</v>
      </c>
      <c r="D140" s="231">
        <f t="shared" ref="D140:O140" si="55">D136*ф2</f>
        <v>84380.560769435018</v>
      </c>
      <c r="E140" s="231">
        <f t="shared" si="55"/>
        <v>74422.3036671421</v>
      </c>
      <c r="F140" s="231">
        <f t="shared" si="55"/>
        <v>71946.113463357309</v>
      </c>
      <c r="G140" s="231">
        <f t="shared" si="55"/>
        <v>62022.86953745655</v>
      </c>
      <c r="H140" s="231">
        <f t="shared" si="55"/>
        <v>56158.211107355113</v>
      </c>
      <c r="I140" s="231">
        <f t="shared" si="55"/>
        <v>44983.716777920992</v>
      </c>
      <c r="J140" s="231">
        <f t="shared" si="55"/>
        <v>42591.257929229541</v>
      </c>
      <c r="K140" s="231">
        <f t="shared" si="55"/>
        <v>46715.153682945696</v>
      </c>
      <c r="L140" s="231">
        <f t="shared" si="55"/>
        <v>57284.699364848006</v>
      </c>
      <c r="M140" s="231">
        <f t="shared" si="55"/>
        <v>66285.078553959116</v>
      </c>
      <c r="N140" s="231">
        <f t="shared" si="55"/>
        <v>73691.709371381963</v>
      </c>
      <c r="O140" s="231">
        <f t="shared" si="55"/>
        <v>85402.409906455228</v>
      </c>
      <c r="S140" t="e">
        <f t="shared" si="41"/>
        <v>#VALUE!</v>
      </c>
    </row>
    <row r="141" spans="2:32">
      <c r="B141" t="s">
        <v>59</v>
      </c>
      <c r="C141">
        <f>0.002178*1.1</f>
        <v>2.3958E-3</v>
      </c>
      <c r="D141" s="231">
        <f t="shared" ref="D141:O141" si="56">D136*ф3</f>
        <v>264053.02512599999</v>
      </c>
      <c r="E141" s="231">
        <f t="shared" si="56"/>
        <v>232890.54067620001</v>
      </c>
      <c r="F141" s="231">
        <f t="shared" si="56"/>
        <v>225141.77119500001</v>
      </c>
      <c r="G141" s="231">
        <f t="shared" si="56"/>
        <v>194088.85386659999</v>
      </c>
      <c r="H141" s="231">
        <f t="shared" si="56"/>
        <v>175736.51316540001</v>
      </c>
      <c r="I141" s="231">
        <f t="shared" si="56"/>
        <v>140768.04406499999</v>
      </c>
      <c r="J141" s="231">
        <f t="shared" si="56"/>
        <v>133281.2960424</v>
      </c>
      <c r="K141" s="231">
        <f t="shared" si="56"/>
        <v>146186.2487844</v>
      </c>
      <c r="L141" s="231">
        <f t="shared" si="56"/>
        <v>179261.64536940001</v>
      </c>
      <c r="M141" s="231">
        <f t="shared" si="56"/>
        <v>207426.63183659999</v>
      </c>
      <c r="N141" s="231">
        <f t="shared" si="56"/>
        <v>230604.28383960002</v>
      </c>
      <c r="O141" s="231">
        <f t="shared" si="56"/>
        <v>267250.70896920003</v>
      </c>
      <c r="S141" t="e">
        <f t="shared" si="41"/>
        <v>#VALUE!</v>
      </c>
    </row>
    <row r="142" spans="2:32">
      <c r="B142" t="s">
        <v>60</v>
      </c>
      <c r="C142">
        <f>10/1000</f>
        <v>0.01</v>
      </c>
      <c r="D142" s="231">
        <f t="shared" ref="D142:O142" si="57">D136*ф4</f>
        <v>1102149.7</v>
      </c>
      <c r="E142" s="231">
        <f t="shared" si="57"/>
        <v>972078.39</v>
      </c>
      <c r="F142" s="231">
        <f t="shared" si="57"/>
        <v>939735.25</v>
      </c>
      <c r="G142" s="231">
        <f t="shared" si="57"/>
        <v>810121.27</v>
      </c>
      <c r="H142" s="231">
        <f t="shared" si="57"/>
        <v>733519.13</v>
      </c>
      <c r="I142" s="231">
        <f t="shared" si="57"/>
        <v>587561.75</v>
      </c>
      <c r="J142" s="231">
        <f t="shared" si="57"/>
        <v>556312.28</v>
      </c>
      <c r="K142" s="231">
        <f t="shared" si="57"/>
        <v>610177.18000000005</v>
      </c>
      <c r="L142" s="231">
        <f t="shared" si="57"/>
        <v>748232.93</v>
      </c>
      <c r="M142" s="231">
        <f t="shared" si="57"/>
        <v>865792.77</v>
      </c>
      <c r="N142" s="231">
        <f t="shared" si="57"/>
        <v>962535.62</v>
      </c>
      <c r="O142" s="231">
        <f t="shared" si="57"/>
        <v>1115496.74</v>
      </c>
      <c r="S142">
        <f t="shared" si="41"/>
        <v>1.0515646194268427</v>
      </c>
    </row>
    <row r="143" spans="2:32">
      <c r="D143" s="228">
        <f>SUM(D138:D142)</f>
        <v>132635373.11887355</v>
      </c>
      <c r="E143" s="228">
        <f t="shared" ref="E143:O143" si="58">SUM(E138:E142)</f>
        <v>116982275.6005322</v>
      </c>
      <c r="F143" s="228">
        <f t="shared" si="58"/>
        <v>113090023.53918703</v>
      </c>
      <c r="G143" s="228">
        <f t="shared" si="58"/>
        <v>97491962.224356368</v>
      </c>
      <c r="H143" s="228">
        <f t="shared" si="58"/>
        <v>88273474.553757548</v>
      </c>
      <c r="I143" s="228">
        <f t="shared" si="58"/>
        <v>70708608.768507853</v>
      </c>
      <c r="J143" s="228">
        <f t="shared" si="58"/>
        <v>66947971.612577915</v>
      </c>
      <c r="K143" s="228">
        <f t="shared" si="58"/>
        <v>73430204.570143312</v>
      </c>
      <c r="L143" s="228">
        <f t="shared" si="58"/>
        <v>90044169.000252873</v>
      </c>
      <c r="M143" s="228">
        <f t="shared" si="58"/>
        <v>104191605.815955</v>
      </c>
      <c r="N143" s="228">
        <f t="shared" si="58"/>
        <v>115833875.46982621</v>
      </c>
      <c r="O143" s="228">
        <f t="shared" si="58"/>
        <v>134241588.34574568</v>
      </c>
      <c r="S143">
        <f t="shared" si="41"/>
        <v>0</v>
      </c>
    </row>
    <row r="144" spans="2:32">
      <c r="S144" t="e">
        <f t="shared" si="41"/>
        <v>#DIV/0!</v>
      </c>
    </row>
    <row r="145" spans="2:19">
      <c r="H145" t="s">
        <v>47</v>
      </c>
      <c r="S145" t="e">
        <f t="shared" si="41"/>
        <v>#DIV/0!</v>
      </c>
    </row>
    <row r="146" spans="2:19">
      <c r="C146" s="1" t="s">
        <v>61</v>
      </c>
      <c r="D146" s="1"/>
      <c r="H146" t="s">
        <v>48</v>
      </c>
      <c r="S146" t="e">
        <f t="shared" si="41"/>
        <v>#DIV/0!</v>
      </c>
    </row>
    <row r="147" spans="2:19">
      <c r="C147" t="s">
        <v>62</v>
      </c>
      <c r="D147" s="228">
        <f>D143+E143+F143</f>
        <v>362707672.25859278</v>
      </c>
      <c r="F147">
        <f>(D136+E136+F136)/1000</f>
        <v>301396.33399999997</v>
      </c>
      <c r="G147" s="118">
        <f>F147/1000</f>
        <v>301.39633399999997</v>
      </c>
      <c r="H147" s="118">
        <f>D147/1000</f>
        <v>362707.67225859279</v>
      </c>
      <c r="J147">
        <f>(D138+E138+F138)/1000</f>
        <v>358661.63746</v>
      </c>
      <c r="S147">
        <f t="shared" si="41"/>
        <v>1.0515646194268427</v>
      </c>
    </row>
    <row r="148" spans="2:19">
      <c r="C148" t="s">
        <v>63</v>
      </c>
      <c r="D148" s="228">
        <f>G143+H143+I143</f>
        <v>256474045.54662174</v>
      </c>
      <c r="F148">
        <f>(G136+H136+I136)/1000</f>
        <v>213120.215</v>
      </c>
      <c r="G148" s="118">
        <f t="shared" ref="G148:G150" si="59">F148/1000</f>
        <v>213.120215</v>
      </c>
      <c r="H148" s="118">
        <f t="shared" ref="H148:H150" si="60">D148/1000</f>
        <v>256474.04554662175</v>
      </c>
      <c r="J148">
        <f>(G138+H138+I138)/1000</f>
        <v>253613.05585</v>
      </c>
      <c r="S148" t="e">
        <f t="shared" si="41"/>
        <v>#DIV/0!</v>
      </c>
    </row>
    <row r="149" spans="2:19">
      <c r="C149" t="s">
        <v>64</v>
      </c>
      <c r="D149" s="228">
        <f>J143+K143+L143</f>
        <v>230422345.1829741</v>
      </c>
      <c r="F149">
        <f>(J136+K136+L136)/1000</f>
        <v>191472.239</v>
      </c>
      <c r="G149" s="118">
        <f t="shared" si="59"/>
        <v>191.472239</v>
      </c>
      <c r="H149" s="118">
        <f t="shared" si="60"/>
        <v>230422.3451829741</v>
      </c>
      <c r="J149">
        <f>(J138+K138+L138)/1000</f>
        <v>227851.96441000002</v>
      </c>
      <c r="S149" t="e">
        <f t="shared" si="41"/>
        <v>#DIV/0!</v>
      </c>
    </row>
    <row r="150" spans="2:19">
      <c r="C150" t="s">
        <v>65</v>
      </c>
      <c r="D150" s="228">
        <f>M143+N143+O143</f>
        <v>354267069.63152689</v>
      </c>
      <c r="F150">
        <f>(M136+N136+O136)/1000</f>
        <v>294382.51299999998</v>
      </c>
      <c r="G150" s="118">
        <f t="shared" si="59"/>
        <v>294.38251299999996</v>
      </c>
      <c r="H150" s="118">
        <f t="shared" si="60"/>
        <v>354267.06963152689</v>
      </c>
      <c r="J150">
        <f>(M138+N138+O138)/1000</f>
        <v>350315.19046999997</v>
      </c>
      <c r="S150" t="e">
        <f t="shared" si="41"/>
        <v>#DIV/0!</v>
      </c>
    </row>
    <row r="151" spans="2:19">
      <c r="D151" s="228"/>
      <c r="S151" t="e">
        <f t="shared" si="41"/>
        <v>#DIV/0!</v>
      </c>
    </row>
    <row r="152" spans="2:19">
      <c r="S152" t="e">
        <f t="shared" si="41"/>
        <v>#DIV/0!</v>
      </c>
    </row>
    <row r="153" spans="2:19">
      <c r="S153" t="e">
        <f t="shared" si="41"/>
        <v>#VALUE!</v>
      </c>
    </row>
    <row r="154" spans="2:19">
      <c r="S154" t="e">
        <f t="shared" si="41"/>
        <v>#VALUE!</v>
      </c>
    </row>
    <row r="155" spans="2:19">
      <c r="D155">
        <f>D133*D137</f>
        <v>150181708.75399998</v>
      </c>
      <c r="E155">
        <f t="shared" ref="E155:O155" si="61">E133*E137</f>
        <v>132044431.80599999</v>
      </c>
      <c r="F155">
        <f t="shared" si="61"/>
        <v>128103518.80199999</v>
      </c>
      <c r="G155">
        <f t="shared" si="61"/>
        <v>111183165.84200001</v>
      </c>
      <c r="H155">
        <f t="shared" si="61"/>
        <v>100513672.25199999</v>
      </c>
      <c r="I155">
        <f t="shared" si="61"/>
        <v>79265901.665999994</v>
      </c>
      <c r="J155">
        <f t="shared" si="61"/>
        <v>74396222.93599999</v>
      </c>
      <c r="K155">
        <f t="shared" si="61"/>
        <v>82221865.950000003</v>
      </c>
      <c r="L155">
        <f t="shared" si="61"/>
        <v>101896297.07600001</v>
      </c>
      <c r="M155">
        <f t="shared" si="61"/>
        <v>117554856.14599998</v>
      </c>
      <c r="N155">
        <f t="shared" si="61"/>
        <v>131380748.81399998</v>
      </c>
      <c r="O155">
        <f t="shared" si="61"/>
        <v>153059117.32999995</v>
      </c>
      <c r="S155">
        <f t="shared" si="41"/>
        <v>0.84361480367840236</v>
      </c>
    </row>
    <row r="156" spans="2:19">
      <c r="B156" t="s">
        <v>57</v>
      </c>
      <c r="C156">
        <f>0.00023900014323349*1.1</f>
        <v>2.6290015755683899E-4</v>
      </c>
      <c r="D156">
        <f t="shared" ref="D156:O156" si="62">D133*($C156)</f>
        <v>33178.819238304117</v>
      </c>
      <c r="E156">
        <f t="shared" si="62"/>
        <v>29171.850358235868</v>
      </c>
      <c r="F156">
        <f t="shared" si="62"/>
        <v>28301.206114816207</v>
      </c>
      <c r="G156">
        <f t="shared" si="62"/>
        <v>24563.085560949548</v>
      </c>
      <c r="H156">
        <f t="shared" si="62"/>
        <v>22205.93300140107</v>
      </c>
      <c r="I156">
        <f t="shared" si="62"/>
        <v>17511.779862921267</v>
      </c>
      <c r="J156">
        <f t="shared" si="62"/>
        <v>16435.948513872368</v>
      </c>
      <c r="K156">
        <f t="shared" si="62"/>
        <v>18164.824800733022</v>
      </c>
      <c r="L156">
        <f t="shared" si="62"/>
        <v>22511.388702301574</v>
      </c>
      <c r="M156">
        <f t="shared" si="62"/>
        <v>25970.748069205831</v>
      </c>
      <c r="N156">
        <f t="shared" si="62"/>
        <v>29025.226523643771</v>
      </c>
      <c r="O156">
        <f t="shared" si="62"/>
        <v>33814.50929543504</v>
      </c>
      <c r="S156">
        <f t="shared" si="41"/>
        <v>0</v>
      </c>
    </row>
    <row r="157" spans="2:19">
      <c r="B157" t="s">
        <v>58</v>
      </c>
      <c r="C157">
        <f>0.000695999832867408*1.1</f>
        <v>7.6559981615414877E-4</v>
      </c>
      <c r="D157">
        <f t="shared" ref="D157:O157" si="63">D133*($C157)</f>
        <v>96621.08286704059</v>
      </c>
      <c r="E157">
        <f t="shared" si="63"/>
        <v>84952.262785590457</v>
      </c>
      <c r="F157">
        <f t="shared" si="63"/>
        <v>82416.832305471209</v>
      </c>
      <c r="G157">
        <f t="shared" si="63"/>
        <v>71530.93388913566</v>
      </c>
      <c r="H157">
        <f t="shared" si="63"/>
        <v>64666.595795890389</v>
      </c>
      <c r="I157">
        <f t="shared" si="63"/>
        <v>50996.604825867587</v>
      </c>
      <c r="J157">
        <f t="shared" si="63"/>
        <v>47863.642522995513</v>
      </c>
      <c r="K157">
        <f t="shared" si="63"/>
        <v>52898.357525353837</v>
      </c>
      <c r="L157">
        <f t="shared" si="63"/>
        <v>65556.122948045493</v>
      </c>
      <c r="M157">
        <f t="shared" si="63"/>
        <v>75630.232145718488</v>
      </c>
      <c r="N157">
        <f t="shared" si="63"/>
        <v>84525.27490604436</v>
      </c>
      <c r="O157">
        <f t="shared" si="63"/>
        <v>98472.295872743081</v>
      </c>
      <c r="S157" t="e">
        <f t="shared" si="41"/>
        <v>#DIV/0!</v>
      </c>
    </row>
    <row r="158" spans="2:19">
      <c r="B158" t="s">
        <v>59</v>
      </c>
      <c r="C158">
        <f>0.002178*1.1</f>
        <v>2.3958E-3</v>
      </c>
      <c r="D158">
        <f t="shared" ref="D158:O158" si="64">D133*($C158)</f>
        <v>302357.42675027996</v>
      </c>
      <c r="E158">
        <f t="shared" si="64"/>
        <v>265842.05858892004</v>
      </c>
      <c r="F158">
        <f t="shared" si="64"/>
        <v>257907.90785364</v>
      </c>
      <c r="G158">
        <f t="shared" si="64"/>
        <v>223842.54514644004</v>
      </c>
      <c r="H158">
        <f t="shared" si="64"/>
        <v>202361.89578264</v>
      </c>
      <c r="I158">
        <f t="shared" si="64"/>
        <v>159584.24135411999</v>
      </c>
      <c r="J158">
        <f t="shared" si="64"/>
        <v>149780.22765551999</v>
      </c>
      <c r="K158">
        <f t="shared" si="64"/>
        <v>165535.41717900001</v>
      </c>
      <c r="L158">
        <f t="shared" si="64"/>
        <v>205145.50297032003</v>
      </c>
      <c r="M158">
        <f t="shared" si="64"/>
        <v>236670.52466771999</v>
      </c>
      <c r="N158">
        <f t="shared" si="64"/>
        <v>264505.88067947997</v>
      </c>
      <c r="O158">
        <f t="shared" si="64"/>
        <v>308150.44815059996</v>
      </c>
      <c r="S158" t="e">
        <f t="shared" si="41"/>
        <v>#DIV/0!</v>
      </c>
    </row>
    <row r="159" spans="2:19">
      <c r="B159" t="s">
        <v>60</v>
      </c>
      <c r="C159">
        <f>10/1000</f>
        <v>0.01</v>
      </c>
      <c r="D159">
        <f t="shared" ref="D159:O159" si="65">D133*($C159)</f>
        <v>1262031.166</v>
      </c>
      <c r="E159">
        <f t="shared" si="65"/>
        <v>1109617.074</v>
      </c>
      <c r="F159">
        <f t="shared" si="65"/>
        <v>1076500.1580000001</v>
      </c>
      <c r="G159">
        <f t="shared" si="65"/>
        <v>934312.31800000009</v>
      </c>
      <c r="H159">
        <f t="shared" si="65"/>
        <v>844652.70799999998</v>
      </c>
      <c r="I159">
        <f t="shared" si="65"/>
        <v>666100.01399999997</v>
      </c>
      <c r="J159">
        <f t="shared" si="65"/>
        <v>625178.34400000004</v>
      </c>
      <c r="K159">
        <f t="shared" si="65"/>
        <v>690940.05</v>
      </c>
      <c r="L159">
        <f t="shared" si="65"/>
        <v>856271.4040000001</v>
      </c>
      <c r="M159">
        <f t="shared" si="65"/>
        <v>987855.93399999989</v>
      </c>
      <c r="N159">
        <f t="shared" si="65"/>
        <v>1104039.906</v>
      </c>
      <c r="O159">
        <f t="shared" si="65"/>
        <v>1286211.0699999998</v>
      </c>
      <c r="S159" t="e">
        <f t="shared" si="41"/>
        <v>#DIV/0!</v>
      </c>
    </row>
    <row r="160" spans="2:19">
      <c r="D160">
        <f>SUM(D155:D159)</f>
        <v>151875897.24885559</v>
      </c>
      <c r="E160">
        <f t="shared" ref="E160:O160" si="66">SUM(E155:E159)</f>
        <v>133534015.05173273</v>
      </c>
      <c r="F160">
        <f t="shared" si="66"/>
        <v>129548644.90627392</v>
      </c>
      <c r="G160">
        <f t="shared" si="66"/>
        <v>112437414.72459653</v>
      </c>
      <c r="H160">
        <f t="shared" si="66"/>
        <v>101647559.38457991</v>
      </c>
      <c r="I160">
        <f t="shared" si="66"/>
        <v>80160094.30604291</v>
      </c>
      <c r="J160">
        <f t="shared" si="66"/>
        <v>75235481.098692358</v>
      </c>
      <c r="K160">
        <f t="shared" si="66"/>
        <v>83149404.599505082</v>
      </c>
      <c r="L160">
        <f t="shared" si="66"/>
        <v>103045781.49462068</v>
      </c>
      <c r="M160">
        <f t="shared" si="66"/>
        <v>118880983.58488263</v>
      </c>
      <c r="N160">
        <f t="shared" si="66"/>
        <v>132862845.10210913</v>
      </c>
      <c r="O160">
        <f t="shared" si="66"/>
        <v>154785765.65331873</v>
      </c>
    </row>
    <row r="163" spans="3:5">
      <c r="C163" s="1" t="s">
        <v>53</v>
      </c>
      <c r="D163" s="1"/>
    </row>
    <row r="164" spans="3:5">
      <c r="C164" t="s">
        <v>62</v>
      </c>
      <c r="D164" s="228">
        <f>D160+E160+F160</f>
        <v>414958557.20686221</v>
      </c>
      <c r="E164">
        <f>D164/1000000</f>
        <v>414.95855720686222</v>
      </c>
    </row>
    <row r="165" spans="3:5">
      <c r="C165" t="s">
        <v>63</v>
      </c>
      <c r="D165" s="228">
        <f>G160+H160+I160</f>
        <v>294245068.41521937</v>
      </c>
      <c r="E165">
        <f t="shared" ref="E165:E167" si="67">D165/1000000</f>
        <v>294.24506841521935</v>
      </c>
    </row>
    <row r="166" spans="3:5">
      <c r="C166" t="s">
        <v>64</v>
      </c>
      <c r="D166" s="228">
        <f>J160+K160+L160</f>
        <v>261430667.19281811</v>
      </c>
      <c r="E166">
        <f t="shared" si="67"/>
        <v>261.43066719281808</v>
      </c>
    </row>
    <row r="167" spans="3:5">
      <c r="C167" t="s">
        <v>65</v>
      </c>
      <c r="D167" s="228">
        <f>M160+N160+O160</f>
        <v>406529594.34031045</v>
      </c>
      <c r="E167">
        <f t="shared" si="67"/>
        <v>406.52959434031044</v>
      </c>
    </row>
  </sheetData>
  <mergeCells count="104">
    <mergeCell ref="C132:C133"/>
    <mergeCell ref="C135:C136"/>
    <mergeCell ref="V65:X65"/>
    <mergeCell ref="Y65:AA65"/>
    <mergeCell ref="AB65:AD65"/>
    <mergeCell ref="AE65:AG65"/>
    <mergeCell ref="AL65:AL67"/>
    <mergeCell ref="A66:A71"/>
    <mergeCell ref="D65:F65"/>
    <mergeCell ref="G65:I65"/>
    <mergeCell ref="J65:L65"/>
    <mergeCell ref="M65:O65"/>
    <mergeCell ref="P65:R65"/>
    <mergeCell ref="S65:U65"/>
    <mergeCell ref="A64:A65"/>
    <mergeCell ref="B64:B65"/>
    <mergeCell ref="D64:O64"/>
    <mergeCell ref="P64:AG64"/>
    <mergeCell ref="AH64:AK64"/>
    <mergeCell ref="AL39:AL41"/>
    <mergeCell ref="A40:A45"/>
    <mergeCell ref="A51:A52"/>
    <mergeCell ref="B51:B52"/>
    <mergeCell ref="D51:O51"/>
    <mergeCell ref="P51:AG51"/>
    <mergeCell ref="AH51:AK51"/>
    <mergeCell ref="D52:F52"/>
    <mergeCell ref="J39:L39"/>
    <mergeCell ref="M39:O39"/>
    <mergeCell ref="P39:R39"/>
    <mergeCell ref="S39:U39"/>
    <mergeCell ref="V39:X39"/>
    <mergeCell ref="Y39:AA39"/>
    <mergeCell ref="Y52:AA52"/>
    <mergeCell ref="AB52:AD52"/>
    <mergeCell ref="AE52:AG52"/>
    <mergeCell ref="AL52:AL54"/>
    <mergeCell ref="A53:A58"/>
    <mergeCell ref="A38:A39"/>
    <mergeCell ref="B38:B39"/>
    <mergeCell ref="D38:O38"/>
    <mergeCell ref="P38:AG38"/>
    <mergeCell ref="AH38:AK38"/>
    <mergeCell ref="AE39:AG39"/>
    <mergeCell ref="G52:I52"/>
    <mergeCell ref="J52:L52"/>
    <mergeCell ref="M52:O52"/>
    <mergeCell ref="P52:R52"/>
    <mergeCell ref="S52:U52"/>
    <mergeCell ref="V52:X52"/>
    <mergeCell ref="AH14:AK14"/>
    <mergeCell ref="D15:F15"/>
    <mergeCell ref="G15:I15"/>
    <mergeCell ref="J15:L15"/>
    <mergeCell ref="M15:O15"/>
    <mergeCell ref="D39:F39"/>
    <mergeCell ref="G39:I39"/>
    <mergeCell ref="M26:O26"/>
    <mergeCell ref="P26:R26"/>
    <mergeCell ref="S26:U26"/>
    <mergeCell ref="V26:X26"/>
    <mergeCell ref="Y26:AA26"/>
    <mergeCell ref="AB26:AD26"/>
    <mergeCell ref="AB39:AD39"/>
    <mergeCell ref="AL15:AL17"/>
    <mergeCell ref="A16:A21"/>
    <mergeCell ref="A25:A26"/>
    <mergeCell ref="B25:B26"/>
    <mergeCell ref="D25:O25"/>
    <mergeCell ref="P25:AG25"/>
    <mergeCell ref="AH25:AK25"/>
    <mergeCell ref="D26:F26"/>
    <mergeCell ref="G26:I26"/>
    <mergeCell ref="J26:L26"/>
    <mergeCell ref="P15:R15"/>
    <mergeCell ref="S15:U15"/>
    <mergeCell ref="V15:X15"/>
    <mergeCell ref="Y15:AA15"/>
    <mergeCell ref="AB15:AD15"/>
    <mergeCell ref="AE15:AG15"/>
    <mergeCell ref="AE26:AG26"/>
    <mergeCell ref="AL26:AL28"/>
    <mergeCell ref="A27:A32"/>
    <mergeCell ref="A3:A4"/>
    <mergeCell ref="B3:B4"/>
    <mergeCell ref="D3:O3"/>
    <mergeCell ref="P3:AG3"/>
    <mergeCell ref="A5:A10"/>
    <mergeCell ref="A14:A15"/>
    <mergeCell ref="B14:B15"/>
    <mergeCell ref="D14:O14"/>
    <mergeCell ref="P14:AG14"/>
    <mergeCell ref="AH3:AK3"/>
    <mergeCell ref="AL3:AL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</mergeCells>
  <dataValidations count="1">
    <dataValidation type="decimal" allowBlank="1" showInputMessage="1" showErrorMessage="1" sqref="D135 D125:E129">
      <formula1>-1000000000</formula1>
      <formula2>1000000000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11" sqref="C11"/>
    </sheetView>
  </sheetViews>
  <sheetFormatPr defaultRowHeight="12.75"/>
  <cols>
    <col min="3" max="3" width="9.28515625" bestFit="1" customWidth="1"/>
  </cols>
  <sheetData>
    <row r="1" spans="1:3" ht="15.75">
      <c r="A1" s="331" t="s">
        <v>76</v>
      </c>
      <c r="B1" s="331"/>
      <c r="C1" s="331"/>
    </row>
    <row r="2" spans="1:3">
      <c r="A2" s="254" t="s">
        <v>77</v>
      </c>
      <c r="B2" s="254" t="s">
        <v>78</v>
      </c>
      <c r="C2" s="254"/>
    </row>
    <row r="3" spans="1:3">
      <c r="A3" s="254" t="s">
        <v>79</v>
      </c>
      <c r="B3" s="254" t="s">
        <v>80</v>
      </c>
      <c r="C3" s="254"/>
    </row>
    <row r="4" spans="1:3">
      <c r="A4" s="254" t="s">
        <v>81</v>
      </c>
      <c r="B4" s="254" t="s">
        <v>82</v>
      </c>
      <c r="C4" s="254"/>
    </row>
    <row r="5" spans="1:3">
      <c r="A5" s="254"/>
      <c r="B5" s="254"/>
      <c r="C5" s="254"/>
    </row>
    <row r="6" spans="1:3" ht="165.75">
      <c r="A6" s="256" t="s">
        <v>83</v>
      </c>
      <c r="B6" s="256" t="s">
        <v>84</v>
      </c>
      <c r="C6" s="256" t="s">
        <v>85</v>
      </c>
    </row>
    <row r="7" spans="1:3" ht="15">
      <c r="A7" s="255">
        <v>1</v>
      </c>
      <c r="B7" s="255">
        <v>2</v>
      </c>
      <c r="C7" s="255">
        <v>3</v>
      </c>
    </row>
    <row r="8" spans="1:3">
      <c r="A8" s="257" t="s">
        <v>86</v>
      </c>
      <c r="B8" s="257" t="s">
        <v>87</v>
      </c>
      <c r="C8" s="258">
        <v>22.085999999999999</v>
      </c>
    </row>
    <row r="9" spans="1:3">
      <c r="A9" s="257" t="s">
        <v>86</v>
      </c>
      <c r="B9" s="257" t="s">
        <v>88</v>
      </c>
      <c r="C9" s="258">
        <v>28.905000000000001</v>
      </c>
    </row>
    <row r="10" spans="1:3">
      <c r="A10" s="257" t="s">
        <v>86</v>
      </c>
      <c r="B10" s="257" t="s">
        <v>89</v>
      </c>
      <c r="C10" s="258">
        <v>11.487</v>
      </c>
    </row>
    <row r="11" spans="1:3">
      <c r="A11" s="253"/>
      <c r="B11" s="253"/>
      <c r="C11" s="252">
        <f>SUM(C8:C10)</f>
        <v>62.478000000000002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ф1</vt:lpstr>
      <vt:lpstr>ф2</vt:lpstr>
      <vt:lpstr>ф3</vt:lpstr>
      <vt:lpstr>ф4</vt:lpstr>
    </vt:vector>
  </TitlesOfParts>
  <Company>ОАО "Колэнергосбыт"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MNedbalskaja</dc:creator>
  <cp:lastModifiedBy>Администратор</cp:lastModifiedBy>
  <cp:lastPrinted>2012-01-19T08:02:53Z</cp:lastPrinted>
  <dcterms:created xsi:type="dcterms:W3CDTF">2008-09-25T12:35:10Z</dcterms:created>
  <dcterms:modified xsi:type="dcterms:W3CDTF">2015-01-23T06:00:58Z</dcterms:modified>
</cp:coreProperties>
</file>